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arina\Desktop\Škola financije\Financijski plan 2023 (2024, 2025)\"/>
    </mc:Choice>
  </mc:AlternateContent>
  <bookViews>
    <workbookView xWindow="0" yWindow="0" windowWidth="28800" windowHeight="11700" activeTab="2"/>
  </bookViews>
  <sheets>
    <sheet name="OPĆI DIO-SAŽETAK EUR" sheetId="1" r:id="rId1"/>
    <sheet name="Rebalans-prihodi" sheetId="14" r:id="rId2"/>
    <sheet name="Rebal-posebni dio" sheetId="7" r:id="rId3"/>
  </sheets>
  <definedNames>
    <definedName name="_xlnm._FilterDatabase" localSheetId="2" hidden="1">'Rebal-posebni dio'!$A$5:$H$368</definedName>
    <definedName name="_xlnm.Print_Area" localSheetId="0">'OPĆI DIO-SAŽETAK EUR'!$A$1:$H$42</definedName>
    <definedName name="_xlnm.Print_Area" localSheetId="1">'Rebalans-prihodi'!$A$1:$E$50</definedName>
    <definedName name="_xlnm.Print_Area" localSheetId="2">'Rebal-posebni dio'!$A$1:$H$372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4" l="1"/>
  <c r="E35" i="14"/>
  <c r="E34" i="14" s="1"/>
  <c r="E39" i="14"/>
  <c r="E38" i="14" s="1"/>
  <c r="E31" i="14"/>
  <c r="E30" i="14" s="1"/>
  <c r="E23" i="14"/>
  <c r="E22" i="14" s="1"/>
  <c r="E15" i="14"/>
  <c r="E7" i="14"/>
  <c r="E6" i="14" s="1"/>
  <c r="H64" i="7"/>
  <c r="H4" i="7"/>
  <c r="H157" i="7"/>
  <c r="H153" i="7"/>
  <c r="H151" i="7"/>
  <c r="H149" i="7"/>
  <c r="H144" i="7"/>
  <c r="H140" i="7"/>
  <c r="H138" i="7"/>
  <c r="H136" i="7"/>
  <c r="H82" i="7"/>
  <c r="G82" i="7"/>
  <c r="G81" i="7" s="1"/>
  <c r="G80" i="7" s="1"/>
  <c r="G79" i="7" s="1"/>
  <c r="G78" i="7" s="1"/>
  <c r="H39" i="7"/>
  <c r="G30" i="7"/>
  <c r="H30" i="7"/>
  <c r="H23" i="7"/>
  <c r="H22" i="7" s="1"/>
  <c r="H21" i="7" s="1"/>
  <c r="H20" i="7" s="1"/>
  <c r="H19" i="7" s="1"/>
  <c r="H17" i="7"/>
  <c r="H16" i="7" s="1"/>
  <c r="H15" i="7" s="1"/>
  <c r="H14" i="7" s="1"/>
  <c r="H13" i="7" s="1"/>
  <c r="H81" i="7" l="1"/>
  <c r="H80" i="7" s="1"/>
  <c r="H79" i="7" l="1"/>
  <c r="H78" i="7"/>
  <c r="F15" i="1"/>
  <c r="F14" i="1"/>
  <c r="F12" i="1"/>
  <c r="F11" i="1"/>
  <c r="H424" i="7" l="1"/>
  <c r="H429" i="7"/>
  <c r="H434" i="7"/>
  <c r="H435" i="7"/>
  <c r="H436" i="7"/>
  <c r="H416" i="7"/>
  <c r="H433" i="7"/>
  <c r="H432" i="7"/>
  <c r="H431" i="7"/>
  <c r="H430" i="7"/>
  <c r="H428" i="7"/>
  <c r="H427" i="7"/>
  <c r="H426" i="7"/>
  <c r="H423" i="7"/>
  <c r="H422" i="7"/>
  <c r="H421" i="7"/>
  <c r="H419" i="7"/>
  <c r="H420" i="7"/>
  <c r="H418" i="7"/>
  <c r="H417" i="7"/>
  <c r="H415" i="7"/>
  <c r="H414" i="7"/>
  <c r="H413" i="7"/>
  <c r="H412" i="7"/>
  <c r="H409" i="7"/>
  <c r="H407" i="7"/>
  <c r="H406" i="7"/>
  <c r="H403" i="7"/>
  <c r="H402" i="7"/>
  <c r="H397" i="7"/>
  <c r="H398" i="7"/>
  <c r="H399" i="7"/>
  <c r="H400" i="7"/>
  <c r="H437" i="7"/>
  <c r="G428" i="7"/>
  <c r="G430" i="7"/>
  <c r="G402" i="7"/>
  <c r="G437" i="7"/>
  <c r="G436" i="7"/>
  <c r="G435" i="7"/>
  <c r="G434" i="7"/>
  <c r="G433" i="7"/>
  <c r="G431" i="7"/>
  <c r="G432" i="7"/>
  <c r="G429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1" i="7"/>
  <c r="G400" i="7"/>
  <c r="G399" i="7"/>
  <c r="G398" i="7"/>
  <c r="G397" i="7"/>
  <c r="I6" i="14"/>
  <c r="I10" i="14"/>
  <c r="C23" i="14"/>
  <c r="C30" i="14"/>
  <c r="C7" i="14"/>
  <c r="C18" i="14"/>
  <c r="C19" i="14" s="1"/>
  <c r="C10" i="14"/>
  <c r="C11" i="14" s="1"/>
  <c r="C6" i="14"/>
  <c r="C14" i="14"/>
  <c r="C39" i="14"/>
  <c r="C40" i="14" s="1"/>
  <c r="C38" i="14"/>
  <c r="C35" i="14"/>
  <c r="C34" i="14"/>
  <c r="C31" i="14"/>
  <c r="C22" i="14"/>
  <c r="E40" i="14"/>
  <c r="E36" i="14"/>
  <c r="E32" i="14"/>
  <c r="E28" i="14"/>
  <c r="C28" i="14"/>
  <c r="E24" i="14"/>
  <c r="E8" i="14"/>
  <c r="G439" i="7" l="1"/>
  <c r="G6" i="14"/>
  <c r="K6" i="14" s="1"/>
  <c r="D42" i="14"/>
  <c r="D43" i="14" s="1"/>
  <c r="C36" i="14"/>
  <c r="C32" i="14"/>
  <c r="C15" i="14"/>
  <c r="C24" i="14"/>
  <c r="C41" i="14"/>
  <c r="C12" i="14"/>
  <c r="E16" i="14"/>
  <c r="C20" i="14"/>
  <c r="C8" i="14"/>
  <c r="C16" i="14" l="1"/>
  <c r="C42" i="14"/>
  <c r="C43" i="14" l="1"/>
  <c r="H404" i="7" l="1"/>
  <c r="H264" i="7"/>
  <c r="H238" i="7"/>
  <c r="H401" i="7" l="1"/>
  <c r="H367" i="7"/>
  <c r="G367" i="7"/>
  <c r="G366" i="7" s="1"/>
  <c r="H342" i="7"/>
  <c r="G342" i="7"/>
  <c r="H247" i="7"/>
  <c r="H425" i="7"/>
  <c r="H197" i="7"/>
  <c r="G197" i="7"/>
  <c r="H196" i="7"/>
  <c r="H195" i="7" s="1"/>
  <c r="G196" i="7"/>
  <c r="G195" i="7" s="1"/>
  <c r="H192" i="7"/>
  <c r="G192" i="7"/>
  <c r="H187" i="7"/>
  <c r="G187" i="7"/>
  <c r="H185" i="7"/>
  <c r="G185" i="7"/>
  <c r="H74" i="7"/>
  <c r="G74" i="7"/>
  <c r="H76" i="7"/>
  <c r="G76" i="7"/>
  <c r="H69" i="7"/>
  <c r="H411" i="7"/>
  <c r="H62" i="7"/>
  <c r="G62" i="7"/>
  <c r="H60" i="7"/>
  <c r="G60" i="7"/>
  <c r="H53" i="7"/>
  <c r="H54" i="7"/>
  <c r="G54" i="7"/>
  <c r="G53" i="7"/>
  <c r="H361" i="7"/>
  <c r="G361" i="7"/>
  <c r="G360" i="7" s="1"/>
  <c r="G359" i="7" s="1"/>
  <c r="H356" i="7"/>
  <c r="G356" i="7"/>
  <c r="G355" i="7" s="1"/>
  <c r="G354" i="7" s="1"/>
  <c r="H351" i="7"/>
  <c r="H350" i="7" s="1"/>
  <c r="H349" i="7" s="1"/>
  <c r="H348" i="7" s="1"/>
  <c r="G351" i="7"/>
  <c r="G350" i="7" s="1"/>
  <c r="H345" i="7"/>
  <c r="G345" i="7"/>
  <c r="H337" i="7"/>
  <c r="G337" i="7"/>
  <c r="G336" i="7" s="1"/>
  <c r="G335" i="7" s="1"/>
  <c r="H332" i="7"/>
  <c r="G327" i="7"/>
  <c r="G332" i="7"/>
  <c r="H322" i="7"/>
  <c r="H319" i="7"/>
  <c r="G322" i="7"/>
  <c r="G319" i="7"/>
  <c r="H310" i="7"/>
  <c r="H314" i="7"/>
  <c r="G314" i="7"/>
  <c r="G313" i="7" s="1"/>
  <c r="G310" i="7"/>
  <c r="G309" i="7" s="1"/>
  <c r="G308" i="7" s="1"/>
  <c r="G307" i="7" s="1"/>
  <c r="H288" i="7"/>
  <c r="H290" i="7"/>
  <c r="H292" i="7"/>
  <c r="H296" i="7"/>
  <c r="H298" i="7"/>
  <c r="H300" i="7"/>
  <c r="H304" i="7"/>
  <c r="G300" i="7"/>
  <c r="G298" i="7"/>
  <c r="G296" i="7"/>
  <c r="G292" i="7"/>
  <c r="G290" i="7"/>
  <c r="G288" i="7"/>
  <c r="H282" i="7"/>
  <c r="G282" i="7"/>
  <c r="G281" i="7" s="1"/>
  <c r="G280" i="7" s="1"/>
  <c r="G279" i="7" s="1"/>
  <c r="G391" i="7" s="1"/>
  <c r="H274" i="7"/>
  <c r="H277" i="7"/>
  <c r="G274" i="7"/>
  <c r="G277" i="7"/>
  <c r="G247" i="7"/>
  <c r="G250" i="7"/>
  <c r="G255" i="7"/>
  <c r="H270" i="7"/>
  <c r="H269" i="7" s="1"/>
  <c r="G264" i="7"/>
  <c r="G270" i="7"/>
  <c r="G269" i="7" s="1"/>
  <c r="G304" i="7"/>
  <c r="G303" i="7" s="1"/>
  <c r="H241" i="7"/>
  <c r="H237" i="7" s="1"/>
  <c r="G238" i="7"/>
  <c r="G241" i="7"/>
  <c r="G229" i="7"/>
  <c r="H233" i="7"/>
  <c r="H229" i="7"/>
  <c r="G233" i="7"/>
  <c r="G202" i="7"/>
  <c r="H205" i="7"/>
  <c r="G205" i="7"/>
  <c r="H211" i="7"/>
  <c r="G211" i="7"/>
  <c r="H218" i="7"/>
  <c r="G218" i="7"/>
  <c r="H222" i="7"/>
  <c r="G222" i="7"/>
  <c r="G221" i="7" s="1"/>
  <c r="H202" i="7"/>
  <c r="H190" i="7"/>
  <c r="G190" i="7"/>
  <c r="H155" i="7"/>
  <c r="G155" i="7"/>
  <c r="G154" i="7" s="1"/>
  <c r="H152" i="7"/>
  <c r="G152" i="7"/>
  <c r="H150" i="7"/>
  <c r="G150" i="7"/>
  <c r="H148" i="7"/>
  <c r="G148" i="7"/>
  <c r="H142" i="7"/>
  <c r="G142" i="7"/>
  <c r="G141" i="7" s="1"/>
  <c r="H139" i="7"/>
  <c r="G139" i="7"/>
  <c r="H137" i="7"/>
  <c r="G137" i="7"/>
  <c r="H135" i="7"/>
  <c r="G135" i="7"/>
  <c r="H128" i="7"/>
  <c r="G128" i="7"/>
  <c r="G127" i="7" s="1"/>
  <c r="H125" i="7"/>
  <c r="G125" i="7"/>
  <c r="H123" i="7"/>
  <c r="G123" i="7"/>
  <c r="H121" i="7"/>
  <c r="G121" i="7"/>
  <c r="H255" i="7" l="1"/>
  <c r="H410" i="7"/>
  <c r="H327" i="7"/>
  <c r="H326" i="7" s="1"/>
  <c r="H405" i="7"/>
  <c r="H250" i="7"/>
  <c r="H246" i="7" s="1"/>
  <c r="H245" i="7" s="1"/>
  <c r="H408" i="7"/>
  <c r="G59" i="7"/>
  <c r="G58" i="7" s="1"/>
  <c r="G57" i="7" s="1"/>
  <c r="G56" i="7" s="1"/>
  <c r="G318" i="7"/>
  <c r="G317" i="7" s="1"/>
  <c r="G316" i="7" s="1"/>
  <c r="G237" i="7"/>
  <c r="G236" i="7" s="1"/>
  <c r="G235" i="7" s="1"/>
  <c r="H336" i="7"/>
  <c r="G134" i="7"/>
  <c r="G133" i="7" s="1"/>
  <c r="G132" i="7" s="1"/>
  <c r="G295" i="7"/>
  <c r="H313" i="7"/>
  <c r="H309" i="7"/>
  <c r="H360" i="7"/>
  <c r="H59" i="7"/>
  <c r="G365" i="7"/>
  <c r="G364" i="7" s="1"/>
  <c r="G363" i="7" s="1"/>
  <c r="G380" i="7"/>
  <c r="G378" i="7"/>
  <c r="H303" i="7"/>
  <c r="H184" i="7"/>
  <c r="H221" i="7"/>
  <c r="H318" i="7"/>
  <c r="G184" i="7"/>
  <c r="G183" i="7" s="1"/>
  <c r="G182" i="7" s="1"/>
  <c r="G387" i="7" s="1"/>
  <c r="H378" i="7"/>
  <c r="H281" i="7"/>
  <c r="G349" i="7"/>
  <c r="H154" i="7"/>
  <c r="H341" i="7"/>
  <c r="H127" i="7"/>
  <c r="G381" i="7"/>
  <c r="H120" i="7"/>
  <c r="H228" i="7"/>
  <c r="G273" i="7"/>
  <c r="G272" i="7" s="1"/>
  <c r="G341" i="7"/>
  <c r="G340" i="7" s="1"/>
  <c r="G339" i="7" s="1"/>
  <c r="G392" i="7" s="1"/>
  <c r="H201" i="7"/>
  <c r="G120" i="7"/>
  <c r="G119" i="7" s="1"/>
  <c r="G118" i="7" s="1"/>
  <c r="G147" i="7"/>
  <c r="H273" i="7"/>
  <c r="G326" i="7"/>
  <c r="G325" i="7" s="1"/>
  <c r="G324" i="7" s="1"/>
  <c r="G228" i="7"/>
  <c r="G227" i="7" s="1"/>
  <c r="H366" i="7"/>
  <c r="H295" i="7"/>
  <c r="H287" i="7"/>
  <c r="H236" i="7"/>
  <c r="G353" i="7"/>
  <c r="H141" i="7"/>
  <c r="G201" i="7"/>
  <c r="G200" i="7" s="1"/>
  <c r="H355" i="7"/>
  <c r="H147" i="7"/>
  <c r="H146" i="7" s="1"/>
  <c r="H134" i="7"/>
  <c r="H133" i="7" s="1"/>
  <c r="G246" i="7"/>
  <c r="G245" i="7" s="1"/>
  <c r="G287" i="7"/>
  <c r="G389" i="7" l="1"/>
  <c r="H439" i="7"/>
  <c r="H200" i="7"/>
  <c r="G146" i="7"/>
  <c r="G145" i="7" s="1"/>
  <c r="H183" i="7"/>
  <c r="G306" i="7"/>
  <c r="G286" i="7"/>
  <c r="G285" i="7" s="1"/>
  <c r="G284" i="7" s="1"/>
  <c r="H359" i="7"/>
  <c r="G348" i="7"/>
  <c r="G244" i="7"/>
  <c r="H286" i="7"/>
  <c r="H272" i="7"/>
  <c r="H227" i="7"/>
  <c r="H280" i="7"/>
  <c r="H365" i="7"/>
  <c r="H364" i="7" s="1"/>
  <c r="H363" i="7" s="1"/>
  <c r="H380" i="7"/>
  <c r="H308" i="7"/>
  <c r="H307" i="7" s="1"/>
  <c r="H58" i="7"/>
  <c r="H335" i="7"/>
  <c r="H354" i="7"/>
  <c r="H353" i="7" s="1"/>
  <c r="H340" i="7"/>
  <c r="H325" i="7"/>
  <c r="G199" i="7"/>
  <c r="G388" i="7" s="1"/>
  <c r="H235" i="7"/>
  <c r="H119" i="7"/>
  <c r="H317" i="7"/>
  <c r="H199" i="7" l="1"/>
  <c r="G131" i="7"/>
  <c r="G386" i="7"/>
  <c r="H182" i="7"/>
  <c r="H387" i="7" s="1"/>
  <c r="H145" i="7"/>
  <c r="H388" i="7"/>
  <c r="H339" i="7"/>
  <c r="H57" i="7"/>
  <c r="H279" i="7"/>
  <c r="H132" i="7"/>
  <c r="H131" i="7" s="1"/>
  <c r="H285" i="7"/>
  <c r="H244" i="7"/>
  <c r="G347" i="7"/>
  <c r="H324" i="7"/>
  <c r="H316" i="7"/>
  <c r="H306" i="7" s="1"/>
  <c r="H118" i="7"/>
  <c r="G181" i="7"/>
  <c r="G390" i="7"/>
  <c r="H108" i="7"/>
  <c r="H110" i="7"/>
  <c r="H112" i="7"/>
  <c r="H115" i="7"/>
  <c r="G115" i="7"/>
  <c r="G114" i="7" s="1"/>
  <c r="G112" i="7"/>
  <c r="G110" i="7"/>
  <c r="G108" i="7"/>
  <c r="H174" i="7"/>
  <c r="H173" i="7" s="1"/>
  <c r="H172" i="7" s="1"/>
  <c r="H171" i="7" s="1"/>
  <c r="H170" i="7" s="1"/>
  <c r="H169" i="7" s="1"/>
  <c r="G174" i="7"/>
  <c r="G173" i="7" s="1"/>
  <c r="G172" i="7" s="1"/>
  <c r="G171" i="7" s="1"/>
  <c r="G170" i="7" s="1"/>
  <c r="G169" i="7" s="1"/>
  <c r="H101" i="7"/>
  <c r="G101" i="7"/>
  <c r="G100" i="7" s="1"/>
  <c r="G99" i="7" s="1"/>
  <c r="G98" i="7" s="1"/>
  <c r="G97" i="7" s="1"/>
  <c r="H95" i="7"/>
  <c r="G95" i="7"/>
  <c r="G94" i="7" s="1"/>
  <c r="G93" i="7" s="1"/>
  <c r="G92" i="7" s="1"/>
  <c r="G91" i="7" s="1"/>
  <c r="H88" i="7"/>
  <c r="G88" i="7"/>
  <c r="G87" i="7" s="1"/>
  <c r="G86" i="7" s="1"/>
  <c r="G85" i="7" s="1"/>
  <c r="G84" i="7" s="1"/>
  <c r="H72" i="7"/>
  <c r="H68" i="7" s="1"/>
  <c r="G72" i="7"/>
  <c r="G69" i="7"/>
  <c r="H34" i="7"/>
  <c r="G34" i="7"/>
  <c r="G39" i="7"/>
  <c r="H48" i="7"/>
  <c r="G48" i="7"/>
  <c r="H11" i="7"/>
  <c r="H10" i="7"/>
  <c r="G10" i="7"/>
  <c r="H389" i="7" l="1"/>
  <c r="G180" i="7"/>
  <c r="G68" i="7"/>
  <c r="H94" i="7"/>
  <c r="H347" i="7"/>
  <c r="H392" i="7"/>
  <c r="G9" i="7"/>
  <c r="G8" i="7" s="1"/>
  <c r="G379" i="7"/>
  <c r="H9" i="7"/>
  <c r="H379" i="7"/>
  <c r="H100" i="7"/>
  <c r="H390" i="7"/>
  <c r="H391" i="7"/>
  <c r="G29" i="7"/>
  <c r="H87" i="7"/>
  <c r="H386" i="7"/>
  <c r="E19" i="14" s="1"/>
  <c r="E18" i="14" s="1"/>
  <c r="H284" i="7"/>
  <c r="H56" i="7"/>
  <c r="H114" i="7"/>
  <c r="H181" i="7"/>
  <c r="G107" i="7"/>
  <c r="G376" i="7" s="1"/>
  <c r="H29" i="7"/>
  <c r="H107" i="7"/>
  <c r="G67" i="7"/>
  <c r="G66" i="7" s="1"/>
  <c r="E20" i="14" l="1"/>
  <c r="G65" i="7"/>
  <c r="H106" i="7"/>
  <c r="H376" i="7"/>
  <c r="G28" i="7"/>
  <c r="G27" i="7" s="1"/>
  <c r="G377" i="7"/>
  <c r="H99" i="7"/>
  <c r="G7" i="7"/>
  <c r="G6" i="7" s="1"/>
  <c r="G383" i="7"/>
  <c r="H67" i="7"/>
  <c r="H28" i="7"/>
  <c r="H377" i="7"/>
  <c r="H8" i="7"/>
  <c r="H93" i="7"/>
  <c r="H180" i="7"/>
  <c r="G106" i="7"/>
  <c r="G105" i="7" s="1"/>
  <c r="G104" i="7" s="1"/>
  <c r="H86" i="7"/>
  <c r="G385" i="7" l="1"/>
  <c r="G64" i="7"/>
  <c r="G382" i="7"/>
  <c r="H105" i="7"/>
  <c r="H27" i="7"/>
  <c r="H98" i="7"/>
  <c r="H85" i="7"/>
  <c r="H66" i="7"/>
  <c r="G26" i="7"/>
  <c r="G25" i="7" s="1"/>
  <c r="G384" i="7"/>
  <c r="G395" i="7" s="1"/>
  <c r="I181" i="7"/>
  <c r="H92" i="7"/>
  <c r="H7" i="7"/>
  <c r="H383" i="7"/>
  <c r="F22" i="1"/>
  <c r="F21" i="1"/>
  <c r="G4" i="7" l="1"/>
  <c r="G440" i="7" s="1"/>
  <c r="I396" i="7"/>
  <c r="H26" i="7"/>
  <c r="H384" i="7"/>
  <c r="H65" i="7"/>
  <c r="H385" i="7"/>
  <c r="E11" i="14" s="1"/>
  <c r="E10" i="14" s="1"/>
  <c r="E41" i="14" s="1"/>
  <c r="H11" i="1" s="1"/>
  <c r="H84" i="7"/>
  <c r="H104" i="7"/>
  <c r="H91" i="7"/>
  <c r="H6" i="7"/>
  <c r="H97" i="7"/>
  <c r="G10" i="14" l="1"/>
  <c r="K10" i="14" s="1"/>
  <c r="E42" i="14"/>
  <c r="H14" i="1" s="1"/>
  <c r="E12" i="14"/>
  <c r="H395" i="7"/>
  <c r="I381" i="7"/>
  <c r="H25" i="7"/>
  <c r="H2" i="7" s="1"/>
  <c r="E43" i="14" l="1"/>
  <c r="H381" i="7"/>
  <c r="H382" i="7" l="1"/>
  <c r="O381" i="7" s="1"/>
  <c r="H15" i="1"/>
  <c r="O396" i="7" l="1"/>
  <c r="H13" i="1"/>
  <c r="F13" i="1" l="1"/>
  <c r="F10" i="1" l="1"/>
  <c r="F16" i="1" s="1"/>
  <c r="H10" i="1" l="1"/>
  <c r="H16" i="1" s="1"/>
</calcChain>
</file>

<file path=xl/comments1.xml><?xml version="1.0" encoding="utf-8"?>
<comments xmlns="http://schemas.openxmlformats.org/spreadsheetml/2006/main">
  <authors>
    <author>Katarina</author>
  </authors>
  <commentList>
    <comment ref="F1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F21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0970
</t>
        </r>
      </text>
    </comment>
    <comment ref="G25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2023: 357.223,90 kn ;   47.411,76 EUR
</t>
        </r>
      </text>
    </comment>
    <comment ref="F6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limit:267.973,10 kn ; 35.566,14 EUR
</t>
        </r>
      </text>
    </comment>
    <comment ref="G6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limit 34.059,47 EUR</t>
        </r>
      </text>
    </comment>
    <comment ref="F78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F8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
</t>
        </r>
      </text>
    </comment>
    <comment ref="F92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0980 F</t>
        </r>
      </text>
    </comment>
    <comment ref="F97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E10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Prsten potpore III/IV
</t>
        </r>
      </text>
    </comment>
    <comment ref="F104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 0980
</t>
        </r>
      </text>
    </comment>
    <comment ref="F180" authorId="0" shapeId="0">
      <text>
        <r>
          <rPr>
            <b/>
            <sz val="9"/>
            <color indexed="81"/>
            <rFont val="Segoe UI"/>
            <family val="2"/>
            <charset val="238"/>
          </rPr>
          <t>Katarina:</t>
        </r>
        <r>
          <rPr>
            <sz val="9"/>
            <color indexed="81"/>
            <rFont val="Segoe UI"/>
            <family val="2"/>
            <charset val="238"/>
          </rPr>
          <t xml:space="preserve">
fp 2022 VANŽUPANIJSKI: 8.217.086KN;  1.090.594,73 eur</t>
        </r>
      </text>
    </comment>
  </commentList>
</comments>
</file>

<file path=xl/sharedStrings.xml><?xml version="1.0" encoding="utf-8"?>
<sst xmlns="http://schemas.openxmlformats.org/spreadsheetml/2006/main" count="744" uniqueCount="262">
  <si>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</si>
  <si>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</si>
  <si>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</si>
  <si>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</si>
  <si>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</si>
  <si>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</si>
  <si>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</si>
  <si>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</si>
  <si>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</si>
  <si>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</si>
  <si>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</si>
  <si>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</si>
  <si>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</si>
  <si>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</si>
  <si>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Prihodi poslovanja</t>
  </si>
  <si>
    <t>Opći prihodi i primici</t>
  </si>
  <si>
    <t>Rashodi poslovanja</t>
  </si>
  <si>
    <t>Rashodi za zaposlene</t>
  </si>
  <si>
    <t>Rashodi za nabavu nefinancijske imovine</t>
  </si>
  <si>
    <t>II. POSEBNI DIO</t>
  </si>
  <si>
    <t>I. OPĆI DIO</t>
  </si>
  <si>
    <t>Šifra</t>
  </si>
  <si>
    <t xml:space="preserve">Naziv </t>
  </si>
  <si>
    <t>Materijalni rashodi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</si>
  <si>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</si>
  <si>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</si>
  <si>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</si>
  <si>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</si>
  <si>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</si>
  <si>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</si>
  <si>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Ostali prihodi za posebne namjene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</si>
  <si>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</si>
  <si>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</si>
  <si>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1.1.</t>
  </si>
  <si>
    <t>3.3.</t>
  </si>
  <si>
    <t>5.K.</t>
  </si>
  <si>
    <t>MINIMALNI STANDARD U OSNOVNOM ŠKOLSTVU- MATERIJALNI I FINANCIJSKI RASHODI-decentralizirana sredstva</t>
  </si>
  <si>
    <t>Aktivnost A100001</t>
  </si>
  <si>
    <t xml:space="preserve">Rashodi poslovanja 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</si>
  <si>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</si>
  <si>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</si>
  <si>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</si>
  <si>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</si>
  <si>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</si>
  <si>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</si>
  <si>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</si>
  <si>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</si>
  <si>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</si>
  <si>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</si>
  <si>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</si>
  <si>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</si>
  <si>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</si>
  <si>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</si>
  <si>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</si>
  <si>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Članarine</t>
  </si>
  <si>
    <t>Naknade i pristojbe</t>
  </si>
  <si>
    <t>Ostali nespomenuti rashodi poslovanja</t>
  </si>
  <si>
    <t>Bankarske usluge i usluge pl.prometa</t>
  </si>
  <si>
    <t>Aktivnost A100002</t>
  </si>
  <si>
    <t>Rashodi za materijal i energiju</t>
  </si>
  <si>
    <t>Mater.i dijelovi za tekuće i invest.održ.</t>
  </si>
  <si>
    <t>Rashodi za usluge</t>
  </si>
  <si>
    <t>Usluge tekućeg i invest.održavanja</t>
  </si>
  <si>
    <t>POJAČANI STANDARD U ŠKOLSTVU</t>
  </si>
  <si>
    <t>Tekući projekt T100003</t>
  </si>
  <si>
    <t>Naknade za rad predst.i izvršnih tijela</t>
  </si>
  <si>
    <t>Ostali nespomenuti rashodi</t>
  </si>
  <si>
    <t>Tekući projekt T100006</t>
  </si>
  <si>
    <t>Tekući projekt T100027</t>
  </si>
  <si>
    <t>Plaće za redovan rad</t>
  </si>
  <si>
    <t>Ostali rashodi za zaposlene</t>
  </si>
  <si>
    <t>Doprinosi na plaće</t>
  </si>
  <si>
    <t>Doprinosi za obvezno zdr.osiguranje</t>
  </si>
  <si>
    <t>Naknade troškova zaposlenima</t>
  </si>
  <si>
    <t>Naknade za prijevoz, rad na terenu</t>
  </si>
  <si>
    <t>KAPITALNO ULAGANJE</t>
  </si>
  <si>
    <t>OPREMA ŠKOLA</t>
  </si>
  <si>
    <t xml:space="preserve">Tekući projekt T100002 </t>
  </si>
  <si>
    <t>TEKUĆE I INVESTICIJSKO ODRŽAVANJE U ŠKOLSTVU</t>
  </si>
  <si>
    <t>PROGRAMI OSNOVNIH ŠKOLA IZVAN ŽUPANIJSKOG PRORAČUNA</t>
  </si>
  <si>
    <t>Usluge tekućeg i investicisjkog održavanja</t>
  </si>
  <si>
    <t>Premije osiguranja</t>
  </si>
  <si>
    <t>Financijski rashodi</t>
  </si>
  <si>
    <t>Bankarske usluge i usluge platbog promet</t>
  </si>
  <si>
    <t>Zatezne kamate</t>
  </si>
  <si>
    <t>Tekuće donacije</t>
  </si>
  <si>
    <t>Tekuće donacije u novcu</t>
  </si>
  <si>
    <t>Rashodi za nabavu proizvedene dugotrajne  imovine</t>
  </si>
  <si>
    <t>Postrojenja i oprema</t>
  </si>
  <si>
    <t>Uredska oprema i namještaj</t>
  </si>
  <si>
    <t>Oprema za održavanje i zaštitu</t>
  </si>
  <si>
    <t>Uređaji, strojevi i oprema za ost.namjene</t>
  </si>
  <si>
    <t>Knjige u knjižnicama</t>
  </si>
  <si>
    <t>Doprinosi za obv.osig.u slučaju nezaposlenosti</t>
  </si>
  <si>
    <t>Naknada za nezapošlj.invalida</t>
  </si>
  <si>
    <t>Troškovi sudskih postupaka</t>
  </si>
  <si>
    <t>Ostali financijski rashodi</t>
  </si>
  <si>
    <t>Materijal i sirovine</t>
  </si>
  <si>
    <t>Uređaji, strojevi i oprema za ostale namjene</t>
  </si>
  <si>
    <t>Tekući projekt T100020</t>
  </si>
  <si>
    <t>Uredski mater.i ost.mater.ras.-udžben.</t>
  </si>
  <si>
    <t>Knjige i udžbenici</t>
  </si>
  <si>
    <t>Aktivnost A10001</t>
  </si>
  <si>
    <t>Izvor financiranja 4.1.</t>
  </si>
  <si>
    <t>Decentralizirana sredstva OŠ</t>
  </si>
  <si>
    <t>PROGRAM 1001</t>
  </si>
  <si>
    <t>Aktivnost A10002</t>
  </si>
  <si>
    <t>Tekuće i investicijsko održavanje</t>
  </si>
  <si>
    <t>Županijska stručna vijeća</t>
  </si>
  <si>
    <t>Izvor financiranja 1.1.</t>
  </si>
  <si>
    <t>Natjecanja</t>
  </si>
  <si>
    <t>Ostale izvanškolske aktivnosti</t>
  </si>
  <si>
    <t>Tekući projekt T100054</t>
  </si>
  <si>
    <t>Prsten potpore V</t>
  </si>
  <si>
    <t>Minist. znanosti, obrazov. i sporta-ESF.</t>
  </si>
  <si>
    <t>E-tehničar</t>
  </si>
  <si>
    <t>Tekući projekt T100041</t>
  </si>
  <si>
    <t>Izvor financiranja 3.3.</t>
  </si>
  <si>
    <t>POTICANJE KORIŠTENJA SREDSTAVA IZ FONDOVA EU</t>
  </si>
  <si>
    <t>Tekući projekt T 100011</t>
  </si>
  <si>
    <t>Školska shema voća, povrća te mlijeka i mliječnih proizvoda</t>
  </si>
  <si>
    <t>Izvor financiranja 5.Đ.</t>
  </si>
  <si>
    <t>Ministarstvo poljoprivrede</t>
  </si>
  <si>
    <t>Naknade građanima i kućanstvima u naravi</t>
  </si>
  <si>
    <t>Izvor financiranja 3.7.</t>
  </si>
  <si>
    <t>Vlastiti prihodi-višak prihoda</t>
  </si>
  <si>
    <t>Izvor financiranja 4.L.</t>
  </si>
  <si>
    <t>Prihodi za posebne namjene</t>
  </si>
  <si>
    <t>Izvor financiranja 5.K.</t>
  </si>
  <si>
    <t>Pomoći</t>
  </si>
  <si>
    <t>Donacije</t>
  </si>
  <si>
    <t>Administrativno, tehničko i stručno osoblje</t>
  </si>
  <si>
    <t>Školska kuhinja</t>
  </si>
  <si>
    <t>Nabava udžbenika za učenike</t>
  </si>
  <si>
    <t>4.1.</t>
  </si>
  <si>
    <t>Decentralizirana sredstva</t>
  </si>
  <si>
    <t>3.7.</t>
  </si>
  <si>
    <t>4.L.</t>
  </si>
  <si>
    <t>Naknade kućanstvima</t>
  </si>
  <si>
    <t>Dugotrajna imovina</t>
  </si>
  <si>
    <t>5.Đ.</t>
  </si>
  <si>
    <t>UP</t>
  </si>
  <si>
    <t>UR</t>
  </si>
  <si>
    <t>Višak prihoda-Pomoći</t>
  </si>
  <si>
    <t>3431</t>
  </si>
  <si>
    <t>3293</t>
  </si>
  <si>
    <t>3291</t>
  </si>
  <si>
    <t>3299</t>
  </si>
  <si>
    <t>3111</t>
  </si>
  <si>
    <t>3121</t>
  </si>
  <si>
    <t>3132</t>
  </si>
  <si>
    <t>3211</t>
  </si>
  <si>
    <t>3212</t>
  </si>
  <si>
    <t>3238</t>
  </si>
  <si>
    <t>3224</t>
  </si>
  <si>
    <t>3232</t>
  </si>
  <si>
    <t>3433</t>
  </si>
  <si>
    <t>4221</t>
  </si>
  <si>
    <t>4223</t>
  </si>
  <si>
    <t>4227</t>
  </si>
  <si>
    <t>4241</t>
  </si>
  <si>
    <t>3292</t>
  </si>
  <si>
    <t>Zdravstvene i veterinarske usluge (covid)</t>
  </si>
  <si>
    <t>3236</t>
  </si>
  <si>
    <t>3133</t>
  </si>
  <si>
    <t>3295</t>
  </si>
  <si>
    <t>3296</t>
  </si>
  <si>
    <t>3221</t>
  </si>
  <si>
    <t>3222</t>
  </si>
  <si>
    <t>3225</t>
  </si>
  <si>
    <t>Izvor financiranja 5.D.</t>
  </si>
  <si>
    <t xml:space="preserve">Zdravstvene i veterinarske usluge </t>
  </si>
  <si>
    <t>311</t>
  </si>
  <si>
    <t>312</t>
  </si>
  <si>
    <t>313</t>
  </si>
  <si>
    <t>321</t>
  </si>
  <si>
    <t>329</t>
  </si>
  <si>
    <t>MINIMALNI STANDARD U OSNOVNOM ŠKOLSTVU- MATERIJALNI I FINANCIJSKI RASHODI</t>
  </si>
  <si>
    <t>3213</t>
  </si>
  <si>
    <t>3214</t>
  </si>
  <si>
    <t>Ostale naknade troškova zaposlenima</t>
  </si>
  <si>
    <t>322</t>
  </si>
  <si>
    <t>3223</t>
  </si>
  <si>
    <t>3227</t>
  </si>
  <si>
    <t>Službena, radna i zaštitna odjeća i obuća</t>
  </si>
  <si>
    <t>323</t>
  </si>
  <si>
    <t>3231</t>
  </si>
  <si>
    <t>3234</t>
  </si>
  <si>
    <t>3237</t>
  </si>
  <si>
    <t>3239</t>
  </si>
  <si>
    <t>343</t>
  </si>
  <si>
    <t>3233</t>
  </si>
  <si>
    <t>3235</t>
  </si>
  <si>
    <t>372</t>
  </si>
  <si>
    <t>3722</t>
  </si>
  <si>
    <t>Usluge tekućeg i investicijskog održavanja</t>
  </si>
  <si>
    <t>Rashodi za nabavu proizvedene dugotrajne imovine</t>
  </si>
  <si>
    <t>Dodatna ulaganja na građevinskim objektima</t>
  </si>
  <si>
    <t>4511</t>
  </si>
  <si>
    <t>381</t>
  </si>
  <si>
    <t>3811</t>
  </si>
  <si>
    <t>5.T.</t>
  </si>
  <si>
    <t>422</t>
  </si>
  <si>
    <t>424</t>
  </si>
  <si>
    <t>Knjige</t>
  </si>
  <si>
    <t>6.3.</t>
  </si>
  <si>
    <t>3812</t>
  </si>
  <si>
    <t>PROGRAM 1002</t>
  </si>
  <si>
    <t>Tekući projekt T00001</t>
  </si>
  <si>
    <t>Tekući projekt T00002</t>
  </si>
  <si>
    <t>PROGRAM 1003</t>
  </si>
  <si>
    <t>Aktivnost A 100001</t>
  </si>
  <si>
    <t>Tekuće i investicijsko održavanje u školstvu</t>
  </si>
  <si>
    <t>Dodatna ulaganja</t>
  </si>
  <si>
    <t>Osiguranje</t>
  </si>
  <si>
    <t>Izvor financiranja 6.3.</t>
  </si>
  <si>
    <t>Prsten potpore VI</t>
  </si>
  <si>
    <t>Tekući projekt T100055</t>
  </si>
  <si>
    <t>ukupno EUR:</t>
  </si>
  <si>
    <t>VIŠAK 3.7. i 5.D.</t>
  </si>
  <si>
    <t>UKUPNO KLASA:</t>
  </si>
  <si>
    <t>UKUPNO IZVORI FINANCIRANJA:</t>
  </si>
  <si>
    <t>Izvor financiranja 5.T.</t>
  </si>
  <si>
    <t>Voditelj računovodstva:</t>
  </si>
  <si>
    <t>Ravnatelj:</t>
  </si>
  <si>
    <t>Predsjednik Školskog odbora:</t>
  </si>
  <si>
    <t>Katarina Bečić Mutvar</t>
  </si>
  <si>
    <t>Mileo Todić</t>
  </si>
  <si>
    <t>Romana Orlić</t>
  </si>
  <si>
    <t>Tekući plan za 2023.</t>
  </si>
  <si>
    <t>Plaće bruto</t>
  </si>
  <si>
    <t>ostali rashodi za zaposlene</t>
  </si>
  <si>
    <t>Financijaki rashodi</t>
  </si>
  <si>
    <t>Uredski namještaj</t>
  </si>
  <si>
    <t>Opskrba besplatnim zalihama menstrualnih higijenskih potrepština</t>
  </si>
  <si>
    <t>Ostale tekuće donacije</t>
  </si>
  <si>
    <r>
      <t>=SUMIF(B2:B5;"Jan";C2:C5)</t>
    </r>
    <r>
      <rPr>
        <sz val="11"/>
        <color rgb="FF1E1E1E"/>
        <rFont val="Segoe UI"/>
        <family val="2"/>
        <charset val="238"/>
      </rPr>
      <t>,</t>
    </r>
  </si>
  <si>
    <t>Brojčana oznaka i naziv izvora financiranja</t>
  </si>
  <si>
    <t>Razlika</t>
  </si>
  <si>
    <t>Vlastiti prihodi-višak</t>
  </si>
  <si>
    <t>UKUPNO  PRIHODI</t>
  </si>
  <si>
    <t>UKUPNO RASHODI</t>
  </si>
  <si>
    <t>PRENESENI VIŠAK/MANJAK PRIHODA</t>
  </si>
  <si>
    <t>Izvorni plan 2023.</t>
  </si>
  <si>
    <t>Izvršenje 30.6.2022.</t>
  </si>
  <si>
    <t>Izvršenje 30.6.2022.**</t>
  </si>
  <si>
    <t>Plan 2023.**</t>
  </si>
  <si>
    <t>Plan 2023.</t>
  </si>
  <si>
    <t>Izvršenje 2022.</t>
  </si>
  <si>
    <t xml:space="preserve">II Rebalans FP </t>
  </si>
  <si>
    <t>II REBALANS FINANCIJSKOG PLANA (27.11.2023.)</t>
  </si>
  <si>
    <t>Energenti</t>
  </si>
  <si>
    <t>KAPITALNO ULAGANJE U SONOVNO ŠKOLSTVO</t>
  </si>
  <si>
    <t>Kapitalni projekt K100145</t>
  </si>
  <si>
    <t>PROJEKTIRANJE I DOGRADNJA ŠKOLE I DVORANE</t>
  </si>
  <si>
    <t>Tekući projekt T100040</t>
  </si>
  <si>
    <t>Stručno usavršavanje djelatnika u školstvu</t>
  </si>
  <si>
    <t>Ivanić-Grad, 06.12.2023.</t>
  </si>
  <si>
    <t>II Rebalans FP (27.11.2023)</t>
  </si>
  <si>
    <t>II REBALANS FP (27.11.2023.)</t>
  </si>
  <si>
    <t>KLASA: 400-02/23-01/03</t>
  </si>
  <si>
    <t>URBROJ: 238-10-8-23-1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</si>
</sst>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i/>
      <sz val="10"/>
      <color theme="6" tint="-0.249977111117893"/>
      <name val="Arial"/>
      <family val="2"/>
      <charset val="238"/>
    </font>
    <font>
      <b/>
      <sz val="11"/>
      <color rgb="FF1E1E1E"/>
      <name val="Segoe UI"/>
      <family val="2"/>
      <charset val="238"/>
    </font>
    <font>
      <sz val="11"/>
      <color rgb="FF1E1E1E"/>
      <name val="Segoe UI"/>
      <family val="2"/>
      <charset val="238"/>
    </font>
    <font>
      <i/>
      <sz val="10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CCC0DA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rgb="FFC1C1FF"/>
      </patternFill>
    </fill>
    <fill>
      <patternFill patternType="solid">
        <fgColor theme="9" tint="-0.249977111117893"/>
        <bgColor rgb="FFC1C1F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8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7" fillId="5" borderId="3" xfId="0" applyFont="1" applyFill="1" applyBorder="1" applyAlignment="1">
      <alignment horizontal="left" vertical="center" wrapText="1" readingOrder="1"/>
    </xf>
    <xf numFmtId="4" fontId="17" fillId="5" borderId="3" xfId="0" applyNumberFormat="1" applyFont="1" applyFill="1" applyBorder="1" applyAlignment="1">
      <alignment horizontal="right" vertical="center" wrapText="1" readingOrder="1"/>
    </xf>
    <xf numFmtId="0" fontId="18" fillId="0" borderId="3" xfId="0" applyNumberFormat="1" applyFont="1" applyFill="1" applyBorder="1" applyAlignment="1" applyProtection="1">
      <alignment wrapText="1"/>
    </xf>
    <xf numFmtId="0" fontId="19" fillId="0" borderId="3" xfId="0" applyNumberFormat="1" applyFont="1" applyFill="1" applyBorder="1" applyAlignment="1" applyProtection="1">
      <alignment wrapText="1"/>
    </xf>
    <xf numFmtId="0" fontId="20" fillId="0" borderId="3" xfId="0" applyNumberFormat="1" applyFont="1" applyFill="1" applyBorder="1" applyAlignment="1" applyProtection="1">
      <alignment wrapText="1"/>
    </xf>
    <xf numFmtId="4" fontId="3" fillId="2" borderId="3" xfId="0" applyNumberFormat="1" applyFont="1" applyFill="1" applyBorder="1" applyAlignment="1">
      <alignment horizontal="right"/>
    </xf>
    <xf numFmtId="0" fontId="18" fillId="8" borderId="0" xfId="0" applyNumberFormat="1" applyFont="1" applyFill="1" applyBorder="1" applyAlignment="1" applyProtection="1"/>
    <xf numFmtId="0" fontId="19" fillId="6" borderId="3" xfId="0" applyFont="1" applyFill="1" applyBorder="1" applyAlignment="1">
      <alignment horizontal="left" vertical="center" wrapText="1" readingOrder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4" fontId="19" fillId="6" borderId="3" xfId="0" applyNumberFormat="1" applyFont="1" applyFill="1" applyBorder="1" applyAlignment="1">
      <alignment horizontal="right" vertical="center" wrapText="1" readingOrder="1"/>
    </xf>
    <xf numFmtId="4" fontId="21" fillId="7" borderId="3" xfId="0" applyNumberFormat="1" applyFont="1" applyFill="1" applyBorder="1" applyAlignment="1" applyProtection="1"/>
    <xf numFmtId="0" fontId="17" fillId="10" borderId="3" xfId="0" applyFont="1" applyFill="1" applyBorder="1" applyAlignment="1">
      <alignment horizontal="left" vertical="center" wrapText="1" readingOrder="1"/>
    </xf>
    <xf numFmtId="0" fontId="17" fillId="9" borderId="3" xfId="0" applyFont="1" applyFill="1" applyBorder="1" applyAlignment="1">
      <alignment horizontal="left" vertical="center" wrapText="1" readingOrder="1"/>
    </xf>
    <xf numFmtId="4" fontId="17" fillId="9" borderId="3" xfId="0" applyNumberFormat="1" applyFont="1" applyFill="1" applyBorder="1" applyAlignment="1">
      <alignment horizontal="right" vertical="center" wrapText="1" readingOrder="1"/>
    </xf>
    <xf numFmtId="4" fontId="17" fillId="10" borderId="3" xfId="0" applyNumberFormat="1" applyFont="1" applyFill="1" applyBorder="1" applyAlignment="1">
      <alignment horizontal="right" vertical="center" wrapText="1" readingOrder="1"/>
    </xf>
    <xf numFmtId="4" fontId="0" fillId="0" borderId="0" xfId="0" applyNumberFormat="1"/>
    <xf numFmtId="4" fontId="3" fillId="2" borderId="4" xfId="0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4" fontId="6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0" borderId="3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11" borderId="0" xfId="0" applyNumberFormat="1" applyFont="1" applyFill="1" applyBorder="1" applyAlignment="1" applyProtection="1">
      <alignment horizontal="center" vertical="center" wrapText="1"/>
    </xf>
    <xf numFmtId="0" fontId="0" fillId="12" borderId="0" xfId="0" applyFill="1"/>
    <xf numFmtId="4" fontId="0" fillId="12" borderId="0" xfId="0" applyNumberFormat="1" applyFill="1"/>
    <xf numFmtId="0" fontId="3" fillId="0" borderId="3" xfId="0" applyNumberFormat="1" applyFont="1" applyFill="1" applyBorder="1" applyAlignment="1" applyProtection="1">
      <alignment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26" fillId="0" borderId="4" xfId="0" applyNumberFormat="1" applyFont="1" applyFill="1" applyBorder="1" applyAlignment="1" applyProtection="1">
      <alignment horizontal="left" vertical="center" wrapText="1"/>
    </xf>
    <xf numFmtId="4" fontId="26" fillId="0" borderId="4" xfId="0" applyNumberFormat="1" applyFont="1" applyFill="1" applyBorder="1" applyAlignment="1">
      <alignment horizontal="right"/>
    </xf>
    <xf numFmtId="4" fontId="26" fillId="0" borderId="3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 applyProtection="1">
      <alignment wrapText="1"/>
    </xf>
    <xf numFmtId="4" fontId="3" fillId="2" borderId="8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0" fillId="0" borderId="5" xfId="0" applyBorder="1"/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4" xfId="0" applyNumberFormat="1" applyFont="1" applyFill="1" applyBorder="1" applyAlignment="1">
      <alignment horizontal="right"/>
    </xf>
    <xf numFmtId="0" fontId="27" fillId="0" borderId="0" xfId="0" applyFont="1"/>
    <xf numFmtId="4" fontId="0" fillId="0" borderId="0" xfId="0" applyNumberFormat="1" applyFill="1"/>
    <xf numFmtId="4" fontId="11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3" fontId="30" fillId="13" borderId="3" xfId="0" applyNumberFormat="1" applyFont="1" applyFill="1" applyBorder="1" applyAlignment="1">
      <alignment horizontal="center"/>
    </xf>
    <xf numFmtId="0" fontId="29" fillId="13" borderId="3" xfId="0" quotePrefix="1" applyFont="1" applyFill="1" applyBorder="1" applyAlignment="1">
      <alignment horizontal="left" vertical="center"/>
    </xf>
    <xf numFmtId="0" fontId="29" fillId="13" borderId="3" xfId="0" applyNumberFormat="1" applyFont="1" applyFill="1" applyBorder="1" applyAlignment="1" applyProtection="1">
      <alignment horizontal="left" vertical="center" wrapText="1"/>
    </xf>
    <xf numFmtId="4" fontId="30" fillId="13" borderId="3" xfId="0" applyNumberFormat="1" applyFont="1" applyFill="1" applyBorder="1" applyAlignment="1">
      <alignment horizontal="right"/>
    </xf>
    <xf numFmtId="0" fontId="31" fillId="0" borderId="3" xfId="0" applyNumberFormat="1" applyFont="1" applyFill="1" applyBorder="1" applyAlignment="1" applyProtection="1">
      <alignment horizontal="left" vertical="center" wrapText="1"/>
    </xf>
    <xf numFmtId="0" fontId="32" fillId="0" borderId="3" xfId="0" applyNumberFormat="1" applyFont="1" applyFill="1" applyBorder="1" applyAlignment="1" applyProtection="1">
      <alignment horizontal="left" vertical="center" wrapText="1"/>
    </xf>
    <xf numFmtId="4" fontId="33" fillId="0" borderId="3" xfId="0" applyNumberFormat="1" applyFont="1" applyFill="1" applyBorder="1" applyAlignment="1">
      <alignment horizontal="right"/>
    </xf>
    <xf numFmtId="4" fontId="0" fillId="13" borderId="0" xfId="0" applyNumberFormat="1" applyFont="1" applyFill="1"/>
    <xf numFmtId="0" fontId="0" fillId="13" borderId="0" xfId="0" applyFill="1"/>
    <xf numFmtId="4" fontId="0" fillId="13" borderId="0" xfId="0" applyNumberFormat="1" applyFill="1"/>
    <xf numFmtId="0" fontId="0" fillId="4" borderId="0" xfId="0" applyFill="1"/>
    <xf numFmtId="4" fontId="0" fillId="4" borderId="0" xfId="0" applyNumberFormat="1" applyFill="1"/>
    <xf numFmtId="0" fontId="29" fillId="4" borderId="3" xfId="0" quotePrefix="1" applyFont="1" applyFill="1" applyBorder="1" applyAlignment="1">
      <alignment horizontal="left" vertical="center"/>
    </xf>
    <xf numFmtId="4" fontId="0" fillId="4" borderId="0" xfId="0" applyNumberFormat="1" applyFont="1" applyFill="1"/>
    <xf numFmtId="4" fontId="30" fillId="4" borderId="3" xfId="0" applyNumberFormat="1" applyFont="1" applyFill="1" applyBorder="1" applyAlignment="1">
      <alignment horizontal="right"/>
    </xf>
    <xf numFmtId="0" fontId="31" fillId="13" borderId="3" xfId="0" applyNumberFormat="1" applyFont="1" applyFill="1" applyBorder="1" applyAlignment="1" applyProtection="1">
      <alignment horizontal="left" vertical="center" wrapText="1"/>
    </xf>
    <xf numFmtId="4" fontId="34" fillId="13" borderId="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1" fillId="0" borderId="0" xfId="0" applyNumberFormat="1" applyFont="1"/>
    <xf numFmtId="0" fontId="3" fillId="4" borderId="4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29" fillId="13" borderId="1" xfId="0" quotePrefix="1" applyFont="1" applyFill="1" applyBorder="1" applyAlignment="1">
      <alignment horizontal="center" vertical="center"/>
    </xf>
    <xf numFmtId="0" fontId="29" fillId="13" borderId="4" xfId="0" quotePrefix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3" fillId="2" borderId="2" xfId="0" applyNumberFormat="1" applyFont="1" applyFill="1" applyBorder="1" applyAlignment="1" applyProtection="1">
      <alignment horizontal="left" vertical="center" wrapText="1" indent="1"/>
    </xf>
    <xf numFmtId="49" fontId="3" fillId="2" borderId="4" xfId="0" applyNumberFormat="1" applyFont="1" applyFill="1" applyBorder="1" applyAlignment="1" applyProtection="1">
      <alignment horizontal="left" vertical="center" wrapText="1" indent="1"/>
    </xf>
    <xf numFmtId="49" fontId="26" fillId="0" borderId="1" xfId="0" applyNumberFormat="1" applyFont="1" applyFill="1" applyBorder="1" applyAlignment="1" applyProtection="1">
      <alignment horizontal="left" vertical="center" wrapText="1" indent="1"/>
    </xf>
    <xf numFmtId="49" fontId="26" fillId="0" borderId="2" xfId="0" applyNumberFormat="1" applyFont="1" applyFill="1" applyBorder="1" applyAlignment="1" applyProtection="1">
      <alignment horizontal="left" vertical="center" wrapText="1" indent="1"/>
    </xf>
    <xf numFmtId="49" fontId="26" fillId="0" borderId="4" xfId="0" applyNumberFormat="1" applyFont="1" applyFill="1" applyBorder="1" applyAlignment="1" applyProtection="1">
      <alignment horizontal="left" vertical="center" wrapText="1" indent="1"/>
    </xf>
    <xf numFmtId="0" fontId="19" fillId="6" borderId="1" xfId="0" applyFont="1" applyFill="1" applyBorder="1" applyAlignment="1">
      <alignment horizontal="left" vertical="center" wrapText="1" readingOrder="1"/>
    </xf>
    <xf numFmtId="0" fontId="19" fillId="6" borderId="2" xfId="0" applyFont="1" applyFill="1" applyBorder="1" applyAlignment="1">
      <alignment horizontal="left" vertical="center" wrapText="1" readingOrder="1"/>
    </xf>
    <xf numFmtId="0" fontId="19" fillId="6" borderId="4" xfId="0" applyFont="1" applyFill="1" applyBorder="1" applyAlignment="1">
      <alignment horizontal="left" vertical="center" wrapText="1" readingOrder="1"/>
    </xf>
    <xf numFmtId="4" fontId="21" fillId="7" borderId="1" xfId="0" applyNumberFormat="1" applyFont="1" applyFill="1" applyBorder="1" applyAlignment="1" applyProtection="1">
      <alignment horizontal="left"/>
    </xf>
    <xf numFmtId="4" fontId="21" fillId="7" borderId="2" xfId="0" applyNumberFormat="1" applyFont="1" applyFill="1" applyBorder="1" applyAlignment="1" applyProtection="1">
      <alignment horizontal="left"/>
    </xf>
    <xf numFmtId="4" fontId="21" fillId="7" borderId="4" xfId="0" applyNumberFormat="1" applyFont="1" applyFill="1" applyBorder="1" applyAlignment="1" applyProtection="1">
      <alignment horizontal="left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2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indent="1"/>
    </xf>
    <xf numFmtId="49" fontId="3" fillId="0" borderId="2" xfId="0" applyNumberFormat="1" applyFont="1" applyFill="1" applyBorder="1" applyAlignment="1" applyProtection="1">
      <alignment horizontal="left" vertical="center" wrapText="1" indent="1"/>
    </xf>
    <xf numFmtId="49" fontId="3" fillId="0" borderId="4" xfId="0" applyNumberFormat="1" applyFont="1" applyFill="1" applyBorder="1" applyAlignment="1" applyProtection="1">
      <alignment horizontal="left" vertical="center" wrapText="1" indent="1"/>
    </xf>
    <xf numFmtId="0" fontId="17" fillId="5" borderId="1" xfId="0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 readingOrder="1"/>
    </xf>
    <xf numFmtId="0" fontId="17" fillId="5" borderId="4" xfId="0" applyFont="1" applyFill="1" applyBorder="1" applyAlignment="1">
      <alignment horizontal="center" vertical="center" wrapText="1" readingOrder="1"/>
    </xf>
    <xf numFmtId="49" fontId="3" fillId="2" borderId="7" xfId="0" applyNumberFormat="1" applyFont="1" applyFill="1" applyBorder="1" applyAlignment="1" applyProtection="1">
      <alignment horizontal="left" vertical="center" wrapText="1" indent="1"/>
    </xf>
    <xf numFmtId="49" fontId="3" fillId="2" borderId="5" xfId="0" applyNumberFormat="1" applyFont="1" applyFill="1" applyBorder="1" applyAlignment="1" applyProtection="1">
      <alignment horizontal="left" vertical="center" wrapText="1" indent="1"/>
    </xf>
    <xf numFmtId="49" fontId="3" fillId="2" borderId="8" xfId="0" applyNumberFormat="1" applyFont="1" applyFill="1" applyBorder="1" applyAlignment="1" applyProtection="1">
      <alignment horizontal="left" vertical="center" wrapText="1" indent="1"/>
    </xf>
    <xf numFmtId="0" fontId="17" fillId="10" borderId="1" xfId="0" applyFont="1" applyFill="1" applyBorder="1" applyAlignment="1">
      <alignment horizontal="center" vertical="center" wrapText="1" readingOrder="1"/>
    </xf>
    <xf numFmtId="0" fontId="17" fillId="10" borderId="2" xfId="0" applyFont="1" applyFill="1" applyBorder="1" applyAlignment="1">
      <alignment horizontal="center" vertical="center" wrapText="1" readingOrder="1"/>
    </xf>
    <xf numFmtId="0" fontId="17" fillId="10" borderId="4" xfId="0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 readingOrder="1"/>
    </xf>
    <xf numFmtId="0" fontId="17" fillId="9" borderId="2" xfId="0" applyFont="1" applyFill="1" applyBorder="1" applyAlignment="1">
      <alignment horizontal="center" vertical="center" wrapText="1" readingOrder="1"/>
    </xf>
    <xf numFmtId="0" fontId="17" fillId="9" borderId="4" xfId="0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left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topLeftCell="A10" zoomScaleNormal="100" zoomScaleSheetLayoutView="100" workbookViewId="0">
      <selection activeCell="A10" sqref="A10:E10"/>
    </sheetView>
  </sheetViews>
  <sheetFormatPr defaultRowHeight="15" x14ac:dyDescent="0.25"/>
  <cols>
    <col min="5" max="5" width="25.28515625" customWidth="1"/>
    <col min="6" max="6" width="25.28515625" hidden="1" customWidth="1"/>
    <col min="7" max="7" width="25.28515625" customWidth="1"/>
    <col min="8" max="8" width="27.42578125" customWidth="1"/>
  </cols>
  <sheetData>
    <row r="1" spans="1:8" x14ac:dyDescent="0.25">
      <c r="A1" s="180" t="s">
        <v>260</v>
      </c>
      <c r="B1" s="180"/>
      <c r="C1" s="180"/>
      <c r="D1" s="180"/>
    </row>
    <row r="2" spans="1:8" x14ac:dyDescent="0.25">
      <c r="A2" s="180" t="s">
        <v>261</v>
      </c>
      <c r="B2" s="180"/>
      <c r="C2" s="180"/>
      <c r="D2" s="180"/>
    </row>
    <row r="3" spans="1:8" ht="42" customHeight="1" x14ac:dyDescent="0.25">
      <c r="A3" s="115" t="s">
        <v>250</v>
      </c>
      <c r="B3" s="115"/>
      <c r="C3" s="115"/>
      <c r="D3" s="115"/>
      <c r="E3" s="115"/>
      <c r="F3" s="115"/>
      <c r="G3" s="115"/>
      <c r="H3" s="115"/>
    </row>
    <row r="4" spans="1:8" ht="18" customHeight="1" x14ac:dyDescent="0.25">
      <c r="A4" s="5"/>
      <c r="B4" s="5"/>
      <c r="C4" s="5"/>
      <c r="D4" s="5"/>
      <c r="E4" s="5"/>
      <c r="F4" s="5"/>
      <c r="G4" s="5"/>
      <c r="H4" s="5"/>
    </row>
    <row r="5" spans="1:8" ht="15.75" x14ac:dyDescent="0.25">
      <c r="A5" s="115" t="s">
        <v>20</v>
      </c>
      <c r="B5" s="115"/>
      <c r="C5" s="115"/>
      <c r="D5" s="115"/>
      <c r="E5" s="115"/>
      <c r="F5" s="115"/>
      <c r="G5" s="115"/>
      <c r="H5" s="115"/>
    </row>
    <row r="6" spans="1:8" ht="18" x14ac:dyDescent="0.25">
      <c r="A6" s="5"/>
      <c r="B6" s="5"/>
      <c r="C6" s="5"/>
      <c r="D6" s="5"/>
      <c r="E6" s="5"/>
      <c r="F6" s="5"/>
      <c r="G6" s="5"/>
      <c r="H6" s="5"/>
    </row>
    <row r="7" spans="1:8" ht="18" customHeight="1" x14ac:dyDescent="0.25">
      <c r="A7" s="115" t="s">
        <v>25</v>
      </c>
      <c r="B7" s="116"/>
      <c r="C7" s="116"/>
      <c r="D7" s="116"/>
      <c r="E7" s="116"/>
      <c r="F7" s="116"/>
      <c r="G7" s="116"/>
      <c r="H7" s="116"/>
    </row>
    <row r="8" spans="1:8" ht="18" x14ac:dyDescent="0.25">
      <c r="A8" s="1"/>
      <c r="B8" s="2"/>
      <c r="C8" s="2"/>
      <c r="D8" s="2"/>
      <c r="E8" s="6"/>
      <c r="F8" s="7"/>
      <c r="G8" s="7"/>
      <c r="H8" s="7"/>
    </row>
    <row r="9" spans="1:8" ht="25.5" x14ac:dyDescent="0.25">
      <c r="A9" s="18"/>
      <c r="B9" s="19"/>
      <c r="C9" s="19"/>
      <c r="D9" s="20"/>
      <c r="E9" s="21"/>
      <c r="F9" s="4" t="s">
        <v>245</v>
      </c>
      <c r="G9" s="4" t="s">
        <v>246</v>
      </c>
      <c r="H9" s="4" t="s">
        <v>259</v>
      </c>
    </row>
    <row r="10" spans="1:8" x14ac:dyDescent="0.25">
      <c r="A10" s="132" t="s">
        <v>0</v>
      </c>
      <c r="B10" s="129"/>
      <c r="C10" s="129"/>
      <c r="D10" s="129"/>
      <c r="E10" s="133"/>
      <c r="F10" s="51" t="e">
        <f t="shared" ref="F10" si="0">SUM(F11:F12)</f>
        <v>#REF!</v>
      </c>
      <c r="G10" s="51">
        <v>1316625.5900000001</v>
      </c>
      <c r="H10" s="51">
        <f ca="1">SUM(H11:H12)</f>
        <v>1462769.41</v>
      </c>
    </row>
    <row r="11" spans="1:8" x14ac:dyDescent="0.25">
      <c r="A11" s="125" t="s">
        <v>1</v>
      </c>
      <c r="B11" s="118"/>
      <c r="C11" s="118"/>
      <c r="D11" s="118"/>
      <c r="E11" s="131"/>
      <c r="F11" s="52" t="e">
        <f>#REF!</f>
        <v>#REF!</v>
      </c>
      <c r="G11" s="52">
        <v>1316625.5900000001</v>
      </c>
      <c r="H11" s="52">
        <f ca="1">'Rebalans-prihodi'!E41-'Rebalans-prihodi'!E22+507.9</f>
        <v>1462769.41</v>
      </c>
    </row>
    <row r="12" spans="1:8" x14ac:dyDescent="0.25">
      <c r="A12" s="134" t="s">
        <v>2</v>
      </c>
      <c r="B12" s="131"/>
      <c r="C12" s="131"/>
      <c r="D12" s="131"/>
      <c r="E12" s="131"/>
      <c r="F12" s="52" t="e">
        <f>#REF!</f>
        <v>#REF!</v>
      </c>
      <c r="G12" s="52">
        <v>0</v>
      </c>
      <c r="H12" s="52">
        <v>0</v>
      </c>
    </row>
    <row r="13" spans="1:8" x14ac:dyDescent="0.25">
      <c r="A13" s="26" t="s">
        <v>3</v>
      </c>
      <c r="B13" s="27"/>
      <c r="C13" s="27"/>
      <c r="D13" s="27"/>
      <c r="E13" s="27"/>
      <c r="F13" s="51" t="e">
        <f t="shared" ref="F13" si="1">SUM(F14:F15)</f>
        <v>#REF!</v>
      </c>
      <c r="G13" s="51">
        <v>1325588.23</v>
      </c>
      <c r="H13" s="51">
        <f ca="1">SUM(H14:H15)</f>
        <v>1470839.26</v>
      </c>
    </row>
    <row r="14" spans="1:8" x14ac:dyDescent="0.25">
      <c r="A14" s="117" t="s">
        <v>4</v>
      </c>
      <c r="B14" s="118"/>
      <c r="C14" s="118"/>
      <c r="D14" s="118"/>
      <c r="E14" s="118"/>
      <c r="F14" s="52" t="e">
        <f>#REF!</f>
        <v>#REF!</v>
      </c>
      <c r="G14" s="52">
        <v>1318806.77</v>
      </c>
      <c r="H14" s="52">
        <f ca="1">'Rebalans-prihodi'!E42-6781.46</f>
        <v>1464057.8</v>
      </c>
    </row>
    <row r="15" spans="1:8" x14ac:dyDescent="0.25">
      <c r="A15" s="130" t="s">
        <v>5</v>
      </c>
      <c r="B15" s="131"/>
      <c r="C15" s="131"/>
      <c r="D15" s="131"/>
      <c r="E15" s="131"/>
      <c r="F15" s="53" t="e">
        <f>#REF!</f>
        <v>#REF!</v>
      </c>
      <c r="G15" s="53">
        <v>6781.46</v>
      </c>
      <c r="H15" s="53">
        <f ca="1">'Rebal-posebni dio'!H381</f>
        <v>6781.46</v>
      </c>
    </row>
    <row r="16" spans="1:8" x14ac:dyDescent="0.25">
      <c r="A16" s="128" t="s">
        <v>6</v>
      </c>
      <c r="B16" s="129"/>
      <c r="C16" s="129"/>
      <c r="D16" s="129"/>
      <c r="E16" s="129"/>
      <c r="F16" s="54" t="e">
        <f t="shared" ref="F16" si="2">F10-F13</f>
        <v>#REF!</v>
      </c>
      <c r="G16" s="54">
        <v>-8962.64</v>
      </c>
      <c r="H16" s="54">
        <f ca="1">H10-H13</f>
        <v>-8069.85</v>
      </c>
    </row>
    <row r="17" spans="1:8" ht="18" x14ac:dyDescent="0.25">
      <c r="A17" s="5"/>
      <c r="B17" s="8"/>
      <c r="C17" s="8"/>
      <c r="D17" s="8"/>
      <c r="E17" s="8"/>
      <c r="F17" s="8"/>
      <c r="G17" s="8"/>
      <c r="H17" s="3"/>
    </row>
    <row r="18" spans="1:8" ht="18" customHeight="1" x14ac:dyDescent="0.25">
      <c r="A18" s="115" t="s">
        <v>26</v>
      </c>
      <c r="B18" s="116"/>
      <c r="C18" s="116"/>
      <c r="D18" s="116"/>
      <c r="E18" s="116"/>
      <c r="F18" s="116"/>
      <c r="G18" s="116"/>
      <c r="H18" s="116"/>
    </row>
    <row r="19" spans="1:8" ht="18" x14ac:dyDescent="0.25">
      <c r="A19" s="17"/>
      <c r="B19" s="15"/>
      <c r="C19" s="15"/>
      <c r="D19" s="15"/>
      <c r="E19" s="15"/>
      <c r="F19" s="15"/>
      <c r="G19" s="15"/>
      <c r="H19" s="16"/>
    </row>
    <row r="20" spans="1:8" ht="25.5" x14ac:dyDescent="0.25">
      <c r="A20" s="18"/>
      <c r="B20" s="19"/>
      <c r="C20" s="19"/>
      <c r="D20" s="20"/>
      <c r="E20" s="21"/>
      <c r="F20" s="4" t="s">
        <v>12</v>
      </c>
      <c r="G20" s="4" t="s">
        <v>247</v>
      </c>
      <c r="H20" s="4" t="s">
        <v>259</v>
      </c>
    </row>
    <row r="21" spans="1:8" ht="15.75" customHeight="1" x14ac:dyDescent="0.25">
      <c r="A21" s="125" t="s">
        <v>8</v>
      </c>
      <c r="B21" s="126"/>
      <c r="C21" s="126"/>
      <c r="D21" s="126"/>
      <c r="E21" s="127"/>
      <c r="F21" s="23" t="e">
        <f>#REF!</f>
        <v>#REF!</v>
      </c>
      <c r="G21" s="23">
        <v>0</v>
      </c>
      <c r="H21" s="23">
        <v>0</v>
      </c>
    </row>
    <row r="22" spans="1:8" x14ac:dyDescent="0.25">
      <c r="A22" s="125" t="s">
        <v>9</v>
      </c>
      <c r="B22" s="118"/>
      <c r="C22" s="118"/>
      <c r="D22" s="118"/>
      <c r="E22" s="118"/>
      <c r="F22" s="23" t="e">
        <f>#REF!</f>
        <v>#REF!</v>
      </c>
      <c r="G22" s="23">
        <v>0</v>
      </c>
      <c r="H22" s="23">
        <v>0</v>
      </c>
    </row>
    <row r="23" spans="1:8" x14ac:dyDescent="0.25">
      <c r="A23" s="128" t="s">
        <v>10</v>
      </c>
      <c r="B23" s="129"/>
      <c r="C23" s="129"/>
      <c r="D23" s="129"/>
      <c r="E23" s="129"/>
      <c r="F23" s="22">
        <v>0</v>
      </c>
      <c r="G23" s="22">
        <v>0</v>
      </c>
      <c r="H23" s="22">
        <v>0</v>
      </c>
    </row>
    <row r="24" spans="1:8" ht="18" x14ac:dyDescent="0.25">
      <c r="A24" s="14"/>
      <c r="B24" s="15"/>
      <c r="C24" s="15"/>
      <c r="D24" s="15"/>
      <c r="E24" s="15"/>
      <c r="F24" s="15"/>
      <c r="G24" s="15"/>
      <c r="H24" s="16"/>
    </row>
    <row r="25" spans="1:8" ht="18" customHeight="1" x14ac:dyDescent="0.25">
      <c r="A25" s="115" t="s">
        <v>31</v>
      </c>
      <c r="B25" s="116"/>
      <c r="C25" s="116"/>
      <c r="D25" s="116"/>
      <c r="E25" s="116"/>
      <c r="F25" s="116"/>
      <c r="G25" s="116"/>
      <c r="H25" s="116"/>
    </row>
    <row r="26" spans="1:8" ht="18" x14ac:dyDescent="0.25">
      <c r="A26" s="14"/>
      <c r="B26" s="15"/>
      <c r="C26" s="15"/>
      <c r="D26" s="15"/>
      <c r="E26" s="15"/>
      <c r="F26" s="15"/>
      <c r="G26" s="15"/>
      <c r="H26" s="16"/>
    </row>
    <row r="27" spans="1:8" ht="25.5" x14ac:dyDescent="0.25">
      <c r="A27" s="18"/>
      <c r="B27" s="19"/>
      <c r="C27" s="19"/>
      <c r="D27" s="20"/>
      <c r="E27" s="21"/>
      <c r="F27" s="4" t="s">
        <v>248</v>
      </c>
      <c r="G27" s="4" t="s">
        <v>247</v>
      </c>
      <c r="H27" s="4" t="s">
        <v>259</v>
      </c>
    </row>
    <row r="28" spans="1:8" x14ac:dyDescent="0.25">
      <c r="A28" s="119" t="s">
        <v>27</v>
      </c>
      <c r="B28" s="120"/>
      <c r="C28" s="120"/>
      <c r="D28" s="120"/>
      <c r="E28" s="121"/>
      <c r="F28" s="24"/>
      <c r="G28" s="55">
        <v>8962.64</v>
      </c>
      <c r="H28" s="55">
        <v>8069.85</v>
      </c>
    </row>
    <row r="29" spans="1:8" ht="30" customHeight="1" x14ac:dyDescent="0.25">
      <c r="A29" s="122" t="s">
        <v>7</v>
      </c>
      <c r="B29" s="123"/>
      <c r="C29" s="123"/>
      <c r="D29" s="123"/>
      <c r="E29" s="124"/>
      <c r="F29" s="25"/>
      <c r="G29" s="56">
        <v>8962.64</v>
      </c>
      <c r="H29" s="56">
        <v>8069.85</v>
      </c>
    </row>
    <row r="32" spans="1:8" x14ac:dyDescent="0.25">
      <c r="A32" s="117" t="s">
        <v>11</v>
      </c>
      <c r="B32" s="118"/>
      <c r="C32" s="118"/>
      <c r="D32" s="118"/>
      <c r="E32" s="118"/>
      <c r="F32" s="23">
        <v>0</v>
      </c>
      <c r="G32" s="23">
        <v>0</v>
      </c>
      <c r="H32" s="23">
        <v>0</v>
      </c>
    </row>
    <row r="33" spans="1:8" ht="11.25" customHeight="1" x14ac:dyDescent="0.25">
      <c r="A33" s="9"/>
      <c r="B33" s="10"/>
      <c r="C33" s="10"/>
      <c r="D33" s="10"/>
      <c r="E33" s="10"/>
      <c r="F33" s="11"/>
      <c r="G33" s="11"/>
      <c r="H33" s="11"/>
    </row>
    <row r="34" spans="1:8" ht="29.25" customHeight="1" x14ac:dyDescent="0.25">
      <c r="A34" s="113" t="s">
        <v>32</v>
      </c>
      <c r="B34" s="114"/>
      <c r="C34" s="114"/>
      <c r="D34" s="114"/>
      <c r="E34" s="114"/>
      <c r="F34" s="114"/>
      <c r="G34" s="114"/>
      <c r="H34" s="114"/>
    </row>
    <row r="35" spans="1:8" ht="8.25" customHeight="1" x14ac:dyDescent="0.25"/>
    <row r="36" spans="1:8" x14ac:dyDescent="0.25">
      <c r="A36" s="113" t="s">
        <v>28</v>
      </c>
      <c r="B36" s="114"/>
      <c r="C36" s="114"/>
      <c r="D36" s="114"/>
      <c r="E36" s="114"/>
      <c r="F36" s="114"/>
      <c r="G36" s="114"/>
      <c r="H36" s="114"/>
    </row>
    <row r="37" spans="1:8" ht="8.25" customHeight="1" x14ac:dyDescent="0.25"/>
    <row r="38" spans="1:8" ht="29.25" customHeight="1" x14ac:dyDescent="0.25">
      <c r="A38" s="113" t="s">
        <v>29</v>
      </c>
      <c r="B38" s="114"/>
      <c r="C38" s="114"/>
      <c r="D38" s="114"/>
      <c r="E38" s="114"/>
      <c r="F38" s="114"/>
      <c r="G38" s="114"/>
      <c r="H38" s="114"/>
    </row>
    <row r="40" spans="1:8" x14ac:dyDescent="0.25">
      <c r="A40" t="s">
        <v>223</v>
      </c>
      <c r="E40" t="s">
        <v>224</v>
      </c>
      <c r="H40" t="s">
        <v>225</v>
      </c>
    </row>
    <row r="41" spans="1:8" x14ac:dyDescent="0.25">
      <c r="A41" t="s">
        <v>226</v>
      </c>
      <c r="E41" t="s">
        <v>227</v>
      </c>
      <c r="H41" t="s">
        <v>228</v>
      </c>
    </row>
    <row r="42" spans="1:8" x14ac:dyDescent="0.25">
      <c r="A42" t="s">
        <v>257</v>
      </c>
    </row>
  </sheetData>
  <mergeCells count="22">
    <mergeCell ref="A2:D2"/>
    <mergeCell ref="A1:D1"/>
    <mergeCell ref="A14:E14"/>
    <mergeCell ref="A7:H7"/>
    <mergeCell ref="A18:H18"/>
    <mergeCell ref="A3:H3"/>
    <mergeCell ref="A5:H5"/>
    <mergeCell ref="A10:E10"/>
    <mergeCell ref="A11:E11"/>
    <mergeCell ref="A12:E12"/>
    <mergeCell ref="A21:E21"/>
    <mergeCell ref="A22:E22"/>
    <mergeCell ref="A23:E23"/>
    <mergeCell ref="A15:E15"/>
    <mergeCell ref="A16:E16"/>
    <mergeCell ref="A38:H38"/>
    <mergeCell ref="A25:H25"/>
    <mergeCell ref="A34:H34"/>
    <mergeCell ref="A32:E32"/>
    <mergeCell ref="A36:H36"/>
    <mergeCell ref="A28:E28"/>
    <mergeCell ref="A29:E29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selection activeCell="A50" sqref="A50"/>
    </sheetView>
  </sheetViews>
  <sheetFormatPr defaultRowHeight="15" x14ac:dyDescent="0.25"/>
  <cols>
    <col min="1" max="1" width="5.42578125" bestFit="1" customWidth="1"/>
    <col min="2" max="2" width="27.28515625" customWidth="1"/>
    <col min="3" max="3" width="16.5703125" hidden="1" customWidth="1"/>
    <col min="4" max="4" width="15.7109375" customWidth="1"/>
    <col min="5" max="5" width="16.85546875" style="45" customWidth="1"/>
    <col min="6" max="6" width="11.7109375" bestFit="1" customWidth="1"/>
    <col min="7" max="7" width="11.7109375" hidden="1" customWidth="1"/>
    <col min="8" max="8" width="10.85546875" hidden="1" customWidth="1"/>
    <col min="9" max="9" width="11.7109375" hidden="1" customWidth="1"/>
    <col min="10" max="10" width="0" hidden="1" customWidth="1"/>
    <col min="11" max="11" width="11.140625" hidden="1" customWidth="1"/>
    <col min="12" max="12" width="0" hidden="1" customWidth="1"/>
    <col min="13" max="13" width="11.140625" hidden="1" customWidth="1"/>
    <col min="14" max="14" width="14" customWidth="1"/>
    <col min="15" max="15" width="29" customWidth="1"/>
  </cols>
  <sheetData>
    <row r="1" spans="1:15" x14ac:dyDescent="0.25">
      <c r="A1" s="135" t="s">
        <v>259</v>
      </c>
      <c r="B1" s="135"/>
      <c r="C1" s="135"/>
      <c r="D1" s="135"/>
      <c r="E1" s="135"/>
      <c r="F1" s="92"/>
      <c r="N1">
        <v>7.5345000000000004</v>
      </c>
    </row>
    <row r="2" spans="1:15" ht="18" x14ac:dyDescent="0.25">
      <c r="A2" s="17"/>
      <c r="B2" s="48"/>
      <c r="C2" s="17"/>
      <c r="D2" s="48"/>
      <c r="E2" s="48"/>
      <c r="G2" t="s">
        <v>141</v>
      </c>
      <c r="I2" t="s">
        <v>142</v>
      </c>
      <c r="K2" t="s">
        <v>219</v>
      </c>
    </row>
    <row r="3" spans="1:15" ht="27.75" customHeight="1" x14ac:dyDescent="0.25">
      <c r="A3" s="136" t="s">
        <v>237</v>
      </c>
      <c r="B3" s="137"/>
      <c r="C3" s="12" t="s">
        <v>244</v>
      </c>
      <c r="D3" s="13" t="s">
        <v>243</v>
      </c>
      <c r="E3" s="50" t="s">
        <v>258</v>
      </c>
    </row>
    <row r="4" spans="1:15" x14ac:dyDescent="0.25">
      <c r="A4" s="138">
        <v>1</v>
      </c>
      <c r="B4" s="139"/>
      <c r="C4" s="93">
        <v>2</v>
      </c>
      <c r="D4" s="93">
        <v>3</v>
      </c>
      <c r="E4" s="93">
        <v>4</v>
      </c>
    </row>
    <row r="5" spans="1:15" x14ac:dyDescent="0.25">
      <c r="A5" s="94" t="s">
        <v>140</v>
      </c>
      <c r="B5" s="95" t="s">
        <v>122</v>
      </c>
      <c r="C5" s="96"/>
      <c r="D5" s="96"/>
      <c r="E5" s="96"/>
    </row>
    <row r="6" spans="1:15" s="58" customFormat="1" ht="15.75" customHeight="1" x14ac:dyDescent="0.25">
      <c r="A6" s="97"/>
      <c r="B6" s="98" t="s">
        <v>14</v>
      </c>
      <c r="C6" s="99">
        <f>16935.25/N1</f>
        <v>2247.69</v>
      </c>
      <c r="D6" s="99">
        <v>2256.29</v>
      </c>
      <c r="E6" s="99">
        <f>E7</f>
        <v>2156.25</v>
      </c>
      <c r="G6" s="88">
        <f>E6+E38</f>
        <v>2687.14</v>
      </c>
      <c r="I6" s="88" t="e">
        <f>#REF!+#REF!</f>
        <v>#REF!</v>
      </c>
      <c r="K6" s="88" t="e">
        <f>I6-G6</f>
        <v>#REF!</v>
      </c>
    </row>
    <row r="7" spans="1:15" s="58" customFormat="1" ht="15.75" hidden="1" customHeight="1" x14ac:dyDescent="0.25">
      <c r="A7" s="97"/>
      <c r="B7" s="98" t="s">
        <v>16</v>
      </c>
      <c r="C7" s="99">
        <f>17528.38/N1</f>
        <v>2326.42</v>
      </c>
      <c r="D7" s="99">
        <v>2256.29</v>
      </c>
      <c r="E7" s="99">
        <f>'Rebal-posebni dio'!H383</f>
        <v>2156.25</v>
      </c>
      <c r="G7" s="88"/>
      <c r="N7" s="88"/>
      <c r="O7" s="88"/>
    </row>
    <row r="8" spans="1:15" s="58" customFormat="1" ht="15.75" hidden="1" customHeight="1" x14ac:dyDescent="0.25">
      <c r="A8" s="97"/>
      <c r="B8" s="98" t="s">
        <v>238</v>
      </c>
      <c r="C8" s="99">
        <f>C6-C7</f>
        <v>-78.73</v>
      </c>
      <c r="D8" s="99">
        <v>0</v>
      </c>
      <c r="E8" s="99">
        <f t="shared" ref="E8" si="0">E6-E7</f>
        <v>0</v>
      </c>
      <c r="G8" s="88"/>
    </row>
    <row r="9" spans="1:15" x14ac:dyDescent="0.25">
      <c r="A9" s="94" t="s">
        <v>33</v>
      </c>
      <c r="B9" s="95" t="s">
        <v>15</v>
      </c>
      <c r="C9" s="96"/>
      <c r="D9" s="96"/>
      <c r="E9" s="96"/>
    </row>
    <row r="10" spans="1:15" s="58" customFormat="1" ht="15.75" customHeight="1" x14ac:dyDescent="0.25">
      <c r="A10" s="97"/>
      <c r="B10" s="98" t="s">
        <v>14</v>
      </c>
      <c r="C10" s="99">
        <f>(200125+5000+11308.11+4000+24369.25)/N1</f>
        <v>32490.86</v>
      </c>
      <c r="D10" s="99">
        <v>8370.7099999999991</v>
      </c>
      <c r="E10" s="99">
        <f ca="1">E11</f>
        <v>130906.43</v>
      </c>
      <c r="G10" s="88" t="e">
        <f ca="1">E10+#REF!</f>
        <v>#REF!</v>
      </c>
      <c r="I10" s="88" t="e">
        <f>E45+#REF!</f>
        <v>#REF!</v>
      </c>
      <c r="K10" s="88" t="e">
        <f ca="1">I10-G10</f>
        <v>#REF!</v>
      </c>
    </row>
    <row r="11" spans="1:15" s="58" customFormat="1" ht="15.75" hidden="1" customHeight="1" x14ac:dyDescent="0.25">
      <c r="A11" s="97"/>
      <c r="B11" s="98" t="s">
        <v>16</v>
      </c>
      <c r="C11" s="99">
        <f>C10-3810/N1</f>
        <v>31985.19</v>
      </c>
      <c r="D11" s="99">
        <v>8370.7099999999991</v>
      </c>
      <c r="E11" s="99">
        <f ca="1">'Rebal-posebni dio'!H385</f>
        <v>130906.43</v>
      </c>
      <c r="G11" s="88"/>
    </row>
    <row r="12" spans="1:15" s="58" customFormat="1" ht="15.75" hidden="1" customHeight="1" x14ac:dyDescent="0.25">
      <c r="A12" s="97"/>
      <c r="B12" s="98" t="s">
        <v>238</v>
      </c>
      <c r="C12" s="99">
        <f>C10-C11</f>
        <v>505.67</v>
      </c>
      <c r="D12" s="99">
        <v>0</v>
      </c>
      <c r="E12" s="99">
        <f t="shared" ref="E12" ca="1" si="1">E10-E11</f>
        <v>0</v>
      </c>
      <c r="G12" s="88"/>
    </row>
    <row r="13" spans="1:15" s="101" customFormat="1" x14ac:dyDescent="0.25">
      <c r="A13" s="94" t="s">
        <v>134</v>
      </c>
      <c r="B13" s="95" t="s">
        <v>135</v>
      </c>
      <c r="C13" s="100"/>
      <c r="D13" s="96"/>
      <c r="E13" s="96"/>
      <c r="G13" s="102"/>
    </row>
    <row r="14" spans="1:15" s="103" customFormat="1" ht="15.75" customHeight="1" x14ac:dyDescent="0.25">
      <c r="A14" s="97"/>
      <c r="B14" s="98" t="s">
        <v>14</v>
      </c>
      <c r="C14" s="99">
        <f>(172632.46/N1)</f>
        <v>22912.26</v>
      </c>
      <c r="D14" s="99">
        <v>47411.76</v>
      </c>
      <c r="E14" s="99">
        <f>E15</f>
        <v>47795</v>
      </c>
      <c r="G14" s="104"/>
      <c r="I14" s="104"/>
      <c r="K14" s="104"/>
    </row>
    <row r="15" spans="1:15" s="103" customFormat="1" ht="15.75" hidden="1" customHeight="1" x14ac:dyDescent="0.25">
      <c r="A15" s="97"/>
      <c r="B15" s="98" t="s">
        <v>16</v>
      </c>
      <c r="C15" s="99">
        <f>C14</f>
        <v>22912.26</v>
      </c>
      <c r="D15" s="99">
        <v>47411.76</v>
      </c>
      <c r="E15" s="99">
        <f>'Rebal-posebni dio'!H384</f>
        <v>47795</v>
      </c>
      <c r="G15" s="104"/>
    </row>
    <row r="16" spans="1:15" s="103" customFormat="1" ht="15.75" hidden="1" customHeight="1" x14ac:dyDescent="0.25">
      <c r="A16" s="97"/>
      <c r="B16" s="98" t="s">
        <v>238</v>
      </c>
      <c r="C16" s="99">
        <f>C14-C15</f>
        <v>0</v>
      </c>
      <c r="D16" s="99">
        <v>0</v>
      </c>
      <c r="E16" s="99">
        <f t="shared" ref="E16" si="2">E14-E15</f>
        <v>0</v>
      </c>
      <c r="F16" s="45"/>
      <c r="G16" s="104"/>
    </row>
    <row r="17" spans="1:11" ht="25.5" x14ac:dyDescent="0.25">
      <c r="A17" s="94" t="s">
        <v>201</v>
      </c>
      <c r="B17" s="95" t="s">
        <v>114</v>
      </c>
      <c r="C17" s="96"/>
      <c r="D17" s="96"/>
      <c r="E17" s="96"/>
      <c r="F17" s="45"/>
    </row>
    <row r="18" spans="1:11" s="58" customFormat="1" ht="15.75" customHeight="1" x14ac:dyDescent="0.25">
      <c r="A18" s="97"/>
      <c r="B18" s="98" t="s">
        <v>14</v>
      </c>
      <c r="C18" s="99">
        <f>138092.46/N1</f>
        <v>18328.02</v>
      </c>
      <c r="D18" s="99">
        <v>25688.75</v>
      </c>
      <c r="E18" s="99">
        <f ca="1">E19</f>
        <v>48120.86</v>
      </c>
      <c r="F18" s="45"/>
      <c r="G18" s="88"/>
      <c r="I18" s="88"/>
      <c r="K18" s="88"/>
    </row>
    <row r="19" spans="1:11" s="58" customFormat="1" ht="15.75" hidden="1" customHeight="1" x14ac:dyDescent="0.25">
      <c r="A19" s="97"/>
      <c r="B19" s="98" t="s">
        <v>16</v>
      </c>
      <c r="C19" s="99">
        <f>C18</f>
        <v>18328.02</v>
      </c>
      <c r="D19" s="99">
        <v>25688.75</v>
      </c>
      <c r="E19" s="99">
        <f ca="1">'Rebal-posebni dio'!H386</f>
        <v>48120.86</v>
      </c>
      <c r="G19" s="88"/>
    </row>
    <row r="20" spans="1:11" s="58" customFormat="1" ht="15.75" hidden="1" customHeight="1" x14ac:dyDescent="0.25">
      <c r="A20" s="97"/>
      <c r="B20" s="98" t="s">
        <v>238</v>
      </c>
      <c r="C20" s="99">
        <f>C18-C19</f>
        <v>0</v>
      </c>
      <c r="D20" s="99">
        <v>0</v>
      </c>
      <c r="E20" s="99">
        <f t="shared" ref="E20" ca="1" si="3">E18-E19</f>
        <v>0</v>
      </c>
      <c r="G20" s="88"/>
    </row>
    <row r="21" spans="1:11" x14ac:dyDescent="0.25">
      <c r="A21" s="105" t="s">
        <v>34</v>
      </c>
      <c r="B21" s="105" t="s">
        <v>24</v>
      </c>
      <c r="C21" s="106"/>
      <c r="D21" s="107"/>
      <c r="E21" s="107"/>
    </row>
    <row r="22" spans="1:11" s="58" customFormat="1" ht="15.75" customHeight="1" x14ac:dyDescent="0.25">
      <c r="A22" s="97"/>
      <c r="B22" s="98" t="s">
        <v>14</v>
      </c>
      <c r="C22" s="99">
        <f>1125.71/N1</f>
        <v>149.41</v>
      </c>
      <c r="D22" s="99">
        <v>8577.75</v>
      </c>
      <c r="E22" s="99">
        <f>E23</f>
        <v>8577.75</v>
      </c>
      <c r="G22" s="88"/>
      <c r="I22" s="88"/>
      <c r="K22" s="88"/>
    </row>
    <row r="23" spans="1:11" s="58" customFormat="1" ht="15.75" hidden="1" customHeight="1" x14ac:dyDescent="0.25">
      <c r="A23" s="97"/>
      <c r="B23" s="98" t="s">
        <v>16</v>
      </c>
      <c r="C23" s="99">
        <f>1000/N1+(5349.1-0.18)/N1</f>
        <v>842.65</v>
      </c>
      <c r="D23" s="99">
        <v>8577.75</v>
      </c>
      <c r="E23" s="99">
        <f>'Rebal-posebni dio'!H387+'Rebal-posebni dio'!H388</f>
        <v>8577.75</v>
      </c>
      <c r="G23" s="88"/>
    </row>
    <row r="24" spans="1:11" s="58" customFormat="1" ht="15.75" hidden="1" customHeight="1" x14ac:dyDescent="0.25">
      <c r="A24" s="97"/>
      <c r="B24" s="98" t="s">
        <v>238</v>
      </c>
      <c r="C24" s="99">
        <f>C22-C23</f>
        <v>-693.24</v>
      </c>
      <c r="D24" s="99">
        <v>0</v>
      </c>
      <c r="E24" s="99">
        <f t="shared" ref="E24" si="4">E22-E23</f>
        <v>0</v>
      </c>
      <c r="G24" s="88"/>
    </row>
    <row r="25" spans="1:11" x14ac:dyDescent="0.25">
      <c r="A25" s="105" t="s">
        <v>136</v>
      </c>
      <c r="B25" s="105" t="s">
        <v>239</v>
      </c>
      <c r="C25" s="106"/>
      <c r="D25" s="107"/>
      <c r="E25" s="107"/>
    </row>
    <row r="26" spans="1:11" s="58" customFormat="1" ht="15.75" customHeight="1" x14ac:dyDescent="0.25">
      <c r="A26" s="97"/>
      <c r="B26" s="98" t="s">
        <v>14</v>
      </c>
      <c r="C26" s="99">
        <v>0</v>
      </c>
      <c r="D26" s="99">
        <v>0</v>
      </c>
      <c r="E26" s="99">
        <v>0</v>
      </c>
      <c r="G26" s="88"/>
      <c r="I26" s="88"/>
      <c r="K26" s="88"/>
    </row>
    <row r="27" spans="1:11" s="58" customFormat="1" ht="15.75" hidden="1" customHeight="1" x14ac:dyDescent="0.25">
      <c r="A27" s="97"/>
      <c r="B27" s="98" t="s">
        <v>16</v>
      </c>
      <c r="C27" s="99">
        <v>0</v>
      </c>
      <c r="D27" s="99">
        <v>0</v>
      </c>
      <c r="E27" s="99">
        <v>0</v>
      </c>
      <c r="G27" s="88"/>
    </row>
    <row r="28" spans="1:11" s="58" customFormat="1" ht="15.75" hidden="1" customHeight="1" x14ac:dyDescent="0.25">
      <c r="A28" s="97"/>
      <c r="B28" s="98" t="s">
        <v>238</v>
      </c>
      <c r="C28" s="99">
        <f>C26-C27</f>
        <v>0</v>
      </c>
      <c r="D28" s="99">
        <v>0</v>
      </c>
      <c r="E28" s="99">
        <f t="shared" ref="E28" si="5">E26-E27</f>
        <v>0</v>
      </c>
      <c r="G28" s="88"/>
    </row>
    <row r="29" spans="1:11" x14ac:dyDescent="0.25">
      <c r="A29" s="105" t="s">
        <v>137</v>
      </c>
      <c r="B29" s="105" t="s">
        <v>30</v>
      </c>
      <c r="C29" s="106"/>
      <c r="D29" s="107"/>
      <c r="E29" s="107"/>
    </row>
    <row r="30" spans="1:11" s="103" customFormat="1" ht="15.75" customHeight="1" x14ac:dyDescent="0.25">
      <c r="A30" s="97"/>
      <c r="B30" s="98" t="s">
        <v>14</v>
      </c>
      <c r="C30" s="99">
        <f>211645.8/N1</f>
        <v>28090.22</v>
      </c>
      <c r="D30" s="99">
        <v>43065.24</v>
      </c>
      <c r="E30" s="99">
        <f>E31</f>
        <v>43065.24</v>
      </c>
      <c r="G30" s="104"/>
      <c r="I30" s="104"/>
      <c r="K30" s="104"/>
    </row>
    <row r="31" spans="1:11" s="103" customFormat="1" ht="15.75" hidden="1" customHeight="1" x14ac:dyDescent="0.25">
      <c r="A31" s="97"/>
      <c r="B31" s="98" t="s">
        <v>16</v>
      </c>
      <c r="C31" s="99">
        <f>210983.3/N1</f>
        <v>28002.3</v>
      </c>
      <c r="D31" s="99">
        <v>43065.24</v>
      </c>
      <c r="E31" s="99">
        <f>'Rebal-posebni dio'!H389</f>
        <v>43065.24</v>
      </c>
      <c r="G31" s="104"/>
    </row>
    <row r="32" spans="1:11" s="103" customFormat="1" ht="15.75" hidden="1" customHeight="1" x14ac:dyDescent="0.25">
      <c r="A32" s="97"/>
      <c r="B32" s="98" t="s">
        <v>238</v>
      </c>
      <c r="C32" s="99">
        <f>C30-C31</f>
        <v>87.92</v>
      </c>
      <c r="D32" s="99">
        <v>0</v>
      </c>
      <c r="E32" s="99">
        <f t="shared" ref="E32" si="6">E30-E31</f>
        <v>0</v>
      </c>
      <c r="G32" s="104"/>
    </row>
    <row r="33" spans="1:11" x14ac:dyDescent="0.25">
      <c r="A33" s="105" t="s">
        <v>35</v>
      </c>
      <c r="B33" s="105" t="s">
        <v>129</v>
      </c>
      <c r="C33" s="106"/>
      <c r="D33" s="107"/>
      <c r="E33" s="107"/>
    </row>
    <row r="34" spans="1:11" s="103" customFormat="1" ht="15.75" customHeight="1" x14ac:dyDescent="0.25">
      <c r="A34" s="97"/>
      <c r="B34" s="98" t="s">
        <v>14</v>
      </c>
      <c r="C34" s="99">
        <f>4179896.91/N1</f>
        <v>554767.66</v>
      </c>
      <c r="D34" s="99">
        <v>1189686.8400000001</v>
      </c>
      <c r="E34" s="99">
        <f>E35</f>
        <v>1189686.8400000001</v>
      </c>
      <c r="G34" s="104"/>
      <c r="I34" s="104"/>
      <c r="K34" s="104"/>
    </row>
    <row r="35" spans="1:11" s="103" customFormat="1" ht="15.75" hidden="1" customHeight="1" x14ac:dyDescent="0.25">
      <c r="A35" s="97"/>
      <c r="B35" s="98" t="s">
        <v>16</v>
      </c>
      <c r="C35" s="99">
        <f>4132039.45/N1</f>
        <v>548415.88</v>
      </c>
      <c r="D35" s="99">
        <v>1189686.8400000001</v>
      </c>
      <c r="E35" s="99">
        <f>'Rebal-posebni dio'!H390+'Rebal-posebni dio'!H392</f>
        <v>1189686.8400000001</v>
      </c>
      <c r="G35" s="104"/>
    </row>
    <row r="36" spans="1:11" s="103" customFormat="1" ht="15.75" hidden="1" customHeight="1" x14ac:dyDescent="0.25">
      <c r="A36" s="97"/>
      <c r="B36" s="98" t="s">
        <v>238</v>
      </c>
      <c r="C36" s="99">
        <f>C34-C35</f>
        <v>6351.78</v>
      </c>
      <c r="D36" s="99">
        <v>0</v>
      </c>
      <c r="E36" s="99">
        <f t="shared" ref="E36" si="7">E34-E35</f>
        <v>0</v>
      </c>
      <c r="G36" s="104"/>
    </row>
    <row r="37" spans="1:11" x14ac:dyDescent="0.25">
      <c r="A37" s="105" t="s">
        <v>205</v>
      </c>
      <c r="B37" s="105" t="s">
        <v>130</v>
      </c>
      <c r="C37" s="106"/>
      <c r="D37" s="107"/>
      <c r="E37" s="107"/>
    </row>
    <row r="38" spans="1:11" s="103" customFormat="1" ht="15.75" customHeight="1" x14ac:dyDescent="0.25">
      <c r="A38" s="97"/>
      <c r="B38" s="98" t="s">
        <v>14</v>
      </c>
      <c r="C38" s="99">
        <f>4000/N1</f>
        <v>530.89</v>
      </c>
      <c r="D38" s="99">
        <v>530.89</v>
      </c>
      <c r="E38" s="99">
        <f>E39</f>
        <v>530.89</v>
      </c>
      <c r="G38" s="104"/>
      <c r="I38" s="104"/>
      <c r="K38" s="104"/>
    </row>
    <row r="39" spans="1:11" s="103" customFormat="1" ht="15.75" hidden="1" customHeight="1" x14ac:dyDescent="0.25">
      <c r="A39" s="97"/>
      <c r="B39" s="98" t="s">
        <v>16</v>
      </c>
      <c r="C39" s="99">
        <f>2820/N1</f>
        <v>374.28</v>
      </c>
      <c r="D39" s="99">
        <v>530.89</v>
      </c>
      <c r="E39" s="99">
        <f>'Rebal-posebni dio'!H391</f>
        <v>530.89</v>
      </c>
      <c r="G39" s="104"/>
    </row>
    <row r="40" spans="1:11" s="103" customFormat="1" ht="15.75" hidden="1" customHeight="1" x14ac:dyDescent="0.25">
      <c r="A40" s="97"/>
      <c r="B40" s="98" t="s">
        <v>238</v>
      </c>
      <c r="C40" s="99">
        <f>C38-C39</f>
        <v>156.61000000000001</v>
      </c>
      <c r="D40" s="99">
        <v>0</v>
      </c>
      <c r="E40" s="99">
        <f t="shared" ref="E40" si="8">E38-E39</f>
        <v>0</v>
      </c>
      <c r="G40" s="104"/>
    </row>
    <row r="41" spans="1:11" s="103" customFormat="1" ht="15.75" customHeight="1" x14ac:dyDescent="0.25">
      <c r="A41" s="108"/>
      <c r="B41" s="108" t="s">
        <v>240</v>
      </c>
      <c r="C41" s="109">
        <f>C6+C10+C14+C18+C22+C26+C30+C34+C38</f>
        <v>659517.01</v>
      </c>
      <c r="D41" s="109">
        <v>1325588.23</v>
      </c>
      <c r="E41" s="109">
        <f ca="1">E6+E10+E14+E18+E22+E26+E30+E34+E38</f>
        <v>1470839.26</v>
      </c>
      <c r="F41" s="104"/>
      <c r="G41" s="104"/>
      <c r="I41" s="104"/>
      <c r="K41" s="104"/>
    </row>
    <row r="42" spans="1:11" s="103" customFormat="1" ht="15.75" hidden="1" customHeight="1" x14ac:dyDescent="0.25">
      <c r="A42" s="108"/>
      <c r="B42" s="108" t="s">
        <v>241</v>
      </c>
      <c r="C42" s="109">
        <f>C7+C11+C15+C19+C23+C27+C31+C35+C39</f>
        <v>653187</v>
      </c>
      <c r="D42" s="109">
        <f t="shared" ref="D42:E42" si="9">D7+D11+D15+D19+D23+D27+D31+D35+D39</f>
        <v>1325588.23</v>
      </c>
      <c r="E42" s="109">
        <f t="shared" ca="1" si="9"/>
        <v>1470839.26</v>
      </c>
      <c r="F42" s="104"/>
      <c r="G42" s="104"/>
    </row>
    <row r="43" spans="1:11" s="103" customFormat="1" ht="28.5" hidden="1" customHeight="1" x14ac:dyDescent="0.25">
      <c r="A43" s="108"/>
      <c r="B43" s="108" t="s">
        <v>242</v>
      </c>
      <c r="C43" s="109">
        <f>C41-C42</f>
        <v>6330.01</v>
      </c>
      <c r="D43" s="109">
        <f t="shared" ref="D43" si="10">D41-D42</f>
        <v>0</v>
      </c>
      <c r="E43" s="109">
        <f ca="1">E41-E42</f>
        <v>0</v>
      </c>
      <c r="G43" s="104"/>
    </row>
    <row r="45" spans="1:11" ht="15.75" x14ac:dyDescent="0.25">
      <c r="A45" s="140"/>
      <c r="B45" s="140"/>
      <c r="C45" s="140"/>
      <c r="D45" s="140"/>
      <c r="E45" s="140"/>
    </row>
    <row r="46" spans="1:11" ht="18" x14ac:dyDescent="0.25">
      <c r="A46" s="17"/>
      <c r="B46" s="17"/>
      <c r="C46" s="17"/>
      <c r="D46" s="17"/>
      <c r="E46" s="48"/>
    </row>
    <row r="48" spans="1:11" x14ac:dyDescent="0.25">
      <c r="A48" t="s">
        <v>223</v>
      </c>
      <c r="C48" t="s">
        <v>224</v>
      </c>
    </row>
    <row r="49" spans="1:3" x14ac:dyDescent="0.25">
      <c r="A49" t="s">
        <v>226</v>
      </c>
      <c r="C49" t="s">
        <v>227</v>
      </c>
    </row>
    <row r="50" spans="1:3" x14ac:dyDescent="0.25">
      <c r="A50" t="s">
        <v>257</v>
      </c>
    </row>
    <row r="51" spans="1:3" x14ac:dyDescent="0.25">
      <c r="C51" s="45"/>
    </row>
    <row r="52" spans="1:3" x14ac:dyDescent="0.25">
      <c r="C52" s="45"/>
    </row>
  </sheetData>
  <mergeCells count="4">
    <mergeCell ref="A1:E1"/>
    <mergeCell ref="A3:B3"/>
    <mergeCell ref="A4:B4"/>
    <mergeCell ref="A45:E45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0"/>
  <sheetViews>
    <sheetView tabSelected="1" view="pageBreakPreview" zoomScaleNormal="100" zoomScaleSheetLayoutView="100" workbookViewId="0">
      <pane ySplit="5" topLeftCell="A6" activePane="bottomLeft" state="frozen"/>
      <selection pane="bottomLeft" activeCell="G400" sqref="G400"/>
    </sheetView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4.28515625" customWidth="1"/>
    <col min="5" max="5" width="23.42578125" hidden="1" customWidth="1"/>
    <col min="6" max="6" width="22.7109375" hidden="1" customWidth="1"/>
    <col min="7" max="7" width="21.42578125" customWidth="1"/>
    <col min="8" max="8" width="29.140625" customWidth="1"/>
    <col min="9" max="9" width="19.5703125" customWidth="1"/>
    <col min="10" max="10" width="11.7109375" hidden="1" customWidth="1"/>
    <col min="11" max="11" width="14.7109375" hidden="1" customWidth="1"/>
    <col min="12" max="12" width="14.85546875" hidden="1" customWidth="1"/>
    <col min="13" max="14" width="0" hidden="1" customWidth="1"/>
  </cols>
  <sheetData>
    <row r="1" spans="1:16" ht="42" customHeight="1" x14ac:dyDescent="0.25">
      <c r="A1" s="115" t="s">
        <v>250</v>
      </c>
      <c r="B1" s="115"/>
      <c r="C1" s="115"/>
      <c r="D1" s="115"/>
      <c r="E1" s="115"/>
      <c r="F1" s="115"/>
      <c r="G1" s="115"/>
      <c r="H1" s="115"/>
      <c r="J1" s="35">
        <v>7.5345000000000004</v>
      </c>
    </row>
    <row r="2" spans="1:16" ht="18" x14ac:dyDescent="0.25">
      <c r="A2" s="5"/>
      <c r="B2" s="5"/>
      <c r="C2" s="5"/>
      <c r="D2" s="5"/>
      <c r="E2" s="5"/>
      <c r="F2" s="5"/>
      <c r="G2" s="5"/>
      <c r="H2" s="49">
        <f>H6+H13+H19+H25</f>
        <v>145297.25</v>
      </c>
      <c r="I2" s="45"/>
    </row>
    <row r="3" spans="1:16" ht="18" customHeight="1" x14ac:dyDescent="0.25">
      <c r="A3" s="115" t="s">
        <v>19</v>
      </c>
      <c r="B3" s="116"/>
      <c r="C3" s="116"/>
      <c r="D3" s="116"/>
      <c r="E3" s="116"/>
      <c r="F3" s="116"/>
      <c r="G3" s="116"/>
      <c r="H3" s="116"/>
      <c r="J3" s="45">
        <v>1325588.23</v>
      </c>
      <c r="L3">
        <v>1321606.55</v>
      </c>
    </row>
    <row r="4" spans="1:16" ht="18" x14ac:dyDescent="0.25">
      <c r="A4" s="5"/>
      <c r="B4" s="5"/>
      <c r="C4" s="5"/>
      <c r="D4" s="73" t="s">
        <v>218</v>
      </c>
      <c r="E4" s="69">
        <v>1323801.25</v>
      </c>
      <c r="F4" s="69">
        <v>1323191.52</v>
      </c>
      <c r="G4" s="69">
        <f>G6+G13+G25+G64+G180</f>
        <v>1325588.23</v>
      </c>
      <c r="H4" s="69">
        <f>H6+H13+H25+H64+H180+H19</f>
        <v>1470839.26</v>
      </c>
      <c r="I4" s="45"/>
    </row>
    <row r="5" spans="1:16" x14ac:dyDescent="0.25">
      <c r="A5" s="171" t="s">
        <v>21</v>
      </c>
      <c r="B5" s="172"/>
      <c r="C5" s="173"/>
      <c r="D5" s="12" t="s">
        <v>22</v>
      </c>
      <c r="E5" s="12" t="s">
        <v>12</v>
      </c>
      <c r="F5" s="13" t="s">
        <v>13</v>
      </c>
      <c r="G5" s="13" t="s">
        <v>229</v>
      </c>
      <c r="H5" s="13" t="s">
        <v>249</v>
      </c>
      <c r="M5" s="58"/>
    </row>
    <row r="6" spans="1:16" ht="24" customHeight="1" x14ac:dyDescent="0.25">
      <c r="A6" s="174" t="s">
        <v>105</v>
      </c>
      <c r="B6" s="175"/>
      <c r="C6" s="176"/>
      <c r="D6" s="42" t="s">
        <v>118</v>
      </c>
      <c r="E6" s="43">
        <v>0</v>
      </c>
      <c r="F6" s="43">
        <v>2256.29</v>
      </c>
      <c r="G6" s="43">
        <f t="shared" ref="G6:H9" si="0">G7</f>
        <v>2256.29</v>
      </c>
      <c r="H6" s="43">
        <f t="shared" si="0"/>
        <v>2156.25</v>
      </c>
      <c r="I6" s="45"/>
      <c r="K6" s="58"/>
      <c r="L6" s="58"/>
      <c r="M6" s="58"/>
      <c r="N6" s="58"/>
      <c r="O6" s="58"/>
      <c r="P6" s="58"/>
    </row>
    <row r="7" spans="1:16" ht="30" customHeight="1" x14ac:dyDescent="0.25">
      <c r="A7" s="150" t="s">
        <v>119</v>
      </c>
      <c r="B7" s="151"/>
      <c r="C7" s="152"/>
      <c r="D7" s="36" t="s">
        <v>120</v>
      </c>
      <c r="E7" s="39">
        <v>0</v>
      </c>
      <c r="F7" s="39">
        <v>2256.29</v>
      </c>
      <c r="G7" s="39">
        <f t="shared" si="0"/>
        <v>2256.29</v>
      </c>
      <c r="H7" s="39">
        <f t="shared" si="0"/>
        <v>2156.25</v>
      </c>
    </row>
    <row r="8" spans="1:16" ht="15" customHeight="1" x14ac:dyDescent="0.25">
      <c r="A8" s="153" t="s">
        <v>121</v>
      </c>
      <c r="B8" s="154"/>
      <c r="C8" s="155"/>
      <c r="D8" s="40" t="s">
        <v>122</v>
      </c>
      <c r="E8" s="40">
        <v>0</v>
      </c>
      <c r="F8" s="40">
        <v>2256.29</v>
      </c>
      <c r="G8" s="40">
        <f t="shared" si="0"/>
        <v>2256.29</v>
      </c>
      <c r="H8" s="40">
        <f t="shared" si="0"/>
        <v>2156.25</v>
      </c>
    </row>
    <row r="9" spans="1:16" x14ac:dyDescent="0.25">
      <c r="A9" s="156">
        <v>3</v>
      </c>
      <c r="B9" s="157"/>
      <c r="C9" s="158"/>
      <c r="D9" s="37" t="s">
        <v>16</v>
      </c>
      <c r="E9" s="38">
        <v>0</v>
      </c>
      <c r="F9" s="38">
        <v>2256.29</v>
      </c>
      <c r="G9" s="38">
        <f t="shared" si="0"/>
        <v>2256.29</v>
      </c>
      <c r="H9" s="38">
        <f t="shared" si="0"/>
        <v>2156.25</v>
      </c>
    </row>
    <row r="10" spans="1:16" ht="26.25" x14ac:dyDescent="0.25">
      <c r="A10" s="141">
        <v>37</v>
      </c>
      <c r="B10" s="142"/>
      <c r="C10" s="143"/>
      <c r="D10" s="32" t="s">
        <v>123</v>
      </c>
      <c r="E10" s="59">
        <v>0</v>
      </c>
      <c r="F10" s="59">
        <v>2256.29</v>
      </c>
      <c r="G10" s="59">
        <f>G12</f>
        <v>2256.29</v>
      </c>
      <c r="H10" s="59">
        <f t="shared" ref="H10" si="1">H12</f>
        <v>2156.25</v>
      </c>
    </row>
    <row r="11" spans="1:16" ht="25.5" x14ac:dyDescent="0.25">
      <c r="A11" s="147" t="s">
        <v>193</v>
      </c>
      <c r="B11" s="148"/>
      <c r="C11" s="149"/>
      <c r="D11" s="78" t="s">
        <v>123</v>
      </c>
      <c r="E11" s="79"/>
      <c r="F11" s="80">
        <v>2256.29</v>
      </c>
      <c r="G11" s="80">
        <v>2806.91</v>
      </c>
      <c r="H11" s="80">
        <f>H12</f>
        <v>2156.25</v>
      </c>
    </row>
    <row r="12" spans="1:16" ht="25.5" x14ac:dyDescent="0.25">
      <c r="A12" s="144" t="s">
        <v>194</v>
      </c>
      <c r="B12" s="145"/>
      <c r="C12" s="146"/>
      <c r="D12" s="28" t="s">
        <v>123</v>
      </c>
      <c r="E12" s="46"/>
      <c r="F12" s="34">
        <v>2256.29</v>
      </c>
      <c r="G12" s="34">
        <v>2256.29</v>
      </c>
      <c r="H12" s="34">
        <v>2156.25</v>
      </c>
    </row>
    <row r="13" spans="1:16" ht="36" x14ac:dyDescent="0.25">
      <c r="A13" s="162" t="s">
        <v>105</v>
      </c>
      <c r="B13" s="163"/>
      <c r="C13" s="164"/>
      <c r="D13" s="29" t="s">
        <v>177</v>
      </c>
      <c r="E13" s="30">
        <v>0</v>
      </c>
      <c r="F13" s="30">
        <v>99542.11</v>
      </c>
      <c r="G13" s="30">
        <v>0</v>
      </c>
      <c r="H13" s="30">
        <f>H14</f>
        <v>4281</v>
      </c>
      <c r="K13" s="58"/>
      <c r="L13" s="58"/>
      <c r="M13" s="58"/>
      <c r="N13" s="58"/>
      <c r="O13" s="58"/>
      <c r="P13" s="58"/>
    </row>
    <row r="14" spans="1:16" ht="35.25" customHeight="1" x14ac:dyDescent="0.25">
      <c r="A14" s="150" t="s">
        <v>102</v>
      </c>
      <c r="B14" s="151"/>
      <c r="C14" s="152"/>
      <c r="D14" s="36" t="s">
        <v>251</v>
      </c>
      <c r="E14" s="39">
        <v>0</v>
      </c>
      <c r="F14" s="39">
        <v>99542.11</v>
      </c>
      <c r="G14" s="39">
        <v>0</v>
      </c>
      <c r="H14" s="39">
        <f>H15</f>
        <v>4281</v>
      </c>
    </row>
    <row r="15" spans="1:16" ht="15" customHeight="1" x14ac:dyDescent="0.25">
      <c r="A15" s="153" t="s">
        <v>109</v>
      </c>
      <c r="B15" s="154"/>
      <c r="C15" s="155"/>
      <c r="D15" s="40" t="s">
        <v>15</v>
      </c>
      <c r="E15" s="40">
        <v>0</v>
      </c>
      <c r="F15" s="40">
        <v>99542.11</v>
      </c>
      <c r="G15" s="40">
        <v>0</v>
      </c>
      <c r="H15" s="40">
        <f>H16</f>
        <v>4281</v>
      </c>
    </row>
    <row r="16" spans="1:16" x14ac:dyDescent="0.25">
      <c r="A16" s="156">
        <v>3</v>
      </c>
      <c r="B16" s="157"/>
      <c r="C16" s="158"/>
      <c r="D16" s="112" t="s">
        <v>16</v>
      </c>
      <c r="E16" s="38">
        <v>0</v>
      </c>
      <c r="F16" s="38">
        <v>99542.11</v>
      </c>
      <c r="G16" s="38">
        <v>0</v>
      </c>
      <c r="H16" s="38">
        <f>H17</f>
        <v>4281</v>
      </c>
    </row>
    <row r="17" spans="1:16" x14ac:dyDescent="0.25">
      <c r="A17" s="141">
        <v>32</v>
      </c>
      <c r="B17" s="142"/>
      <c r="C17" s="143"/>
      <c r="D17" s="60" t="s">
        <v>23</v>
      </c>
      <c r="E17" s="59">
        <v>0</v>
      </c>
      <c r="F17" s="59">
        <v>99542.11</v>
      </c>
      <c r="G17" s="59">
        <v>0</v>
      </c>
      <c r="H17" s="59">
        <f>H18</f>
        <v>4281</v>
      </c>
    </row>
    <row r="18" spans="1:16" x14ac:dyDescent="0.25">
      <c r="A18" s="144" t="s">
        <v>182</v>
      </c>
      <c r="B18" s="145"/>
      <c r="C18" s="146"/>
      <c r="D18" s="28" t="s">
        <v>42</v>
      </c>
      <c r="E18" s="46">
        <v>0</v>
      </c>
      <c r="F18" s="34">
        <v>99542.11</v>
      </c>
      <c r="G18" s="34">
        <v>0</v>
      </c>
      <c r="H18" s="34">
        <v>4281</v>
      </c>
    </row>
    <row r="19" spans="1:16" ht="24" x14ac:dyDescent="0.25">
      <c r="A19" s="162" t="s">
        <v>105</v>
      </c>
      <c r="B19" s="163"/>
      <c r="C19" s="164"/>
      <c r="D19" s="29" t="s">
        <v>252</v>
      </c>
      <c r="E19" s="30">
        <v>0</v>
      </c>
      <c r="F19" s="30">
        <v>99542.11</v>
      </c>
      <c r="G19" s="30">
        <v>0</v>
      </c>
      <c r="H19" s="30">
        <f>H20</f>
        <v>91065</v>
      </c>
      <c r="K19" s="58"/>
      <c r="L19" s="58"/>
      <c r="M19" s="58"/>
      <c r="N19" s="58"/>
      <c r="O19" s="58"/>
      <c r="P19" s="58"/>
    </row>
    <row r="20" spans="1:16" ht="35.25" customHeight="1" x14ac:dyDescent="0.25">
      <c r="A20" s="150" t="s">
        <v>253</v>
      </c>
      <c r="B20" s="151"/>
      <c r="C20" s="152"/>
      <c r="D20" s="36" t="s">
        <v>254</v>
      </c>
      <c r="E20" s="39">
        <v>0</v>
      </c>
      <c r="F20" s="39">
        <v>99542.11</v>
      </c>
      <c r="G20" s="39">
        <v>0</v>
      </c>
      <c r="H20" s="39">
        <f>H21</f>
        <v>91065</v>
      </c>
    </row>
    <row r="21" spans="1:16" ht="15" customHeight="1" x14ac:dyDescent="0.25">
      <c r="A21" s="153" t="s">
        <v>109</v>
      </c>
      <c r="B21" s="154"/>
      <c r="C21" s="155"/>
      <c r="D21" s="40" t="s">
        <v>15</v>
      </c>
      <c r="E21" s="40">
        <v>0</v>
      </c>
      <c r="F21" s="40">
        <v>99542.11</v>
      </c>
      <c r="G21" s="40">
        <v>0</v>
      </c>
      <c r="H21" s="40">
        <f>H22</f>
        <v>91065</v>
      </c>
    </row>
    <row r="22" spans="1:16" x14ac:dyDescent="0.25">
      <c r="A22" s="156">
        <v>3</v>
      </c>
      <c r="B22" s="157"/>
      <c r="C22" s="158"/>
      <c r="D22" s="112" t="s">
        <v>16</v>
      </c>
      <c r="E22" s="38">
        <v>0</v>
      </c>
      <c r="F22" s="38">
        <v>99542.11</v>
      </c>
      <c r="G22" s="38">
        <v>0</v>
      </c>
      <c r="H22" s="38">
        <f>H23</f>
        <v>91065</v>
      </c>
    </row>
    <row r="23" spans="1:16" x14ac:dyDescent="0.25">
      <c r="A23" s="141">
        <v>32</v>
      </c>
      <c r="B23" s="142"/>
      <c r="C23" s="143"/>
      <c r="D23" s="60" t="s">
        <v>23</v>
      </c>
      <c r="E23" s="59">
        <v>0</v>
      </c>
      <c r="F23" s="59">
        <v>99542.11</v>
      </c>
      <c r="G23" s="59">
        <v>0</v>
      </c>
      <c r="H23" s="59">
        <f>H24</f>
        <v>91065</v>
      </c>
    </row>
    <row r="24" spans="1:16" x14ac:dyDescent="0.25">
      <c r="A24" s="144" t="s">
        <v>182</v>
      </c>
      <c r="B24" s="145"/>
      <c r="C24" s="146"/>
      <c r="D24" s="28" t="s">
        <v>42</v>
      </c>
      <c r="E24" s="46">
        <v>0</v>
      </c>
      <c r="F24" s="34">
        <v>99542.11</v>
      </c>
      <c r="G24" s="34">
        <v>0</v>
      </c>
      <c r="H24" s="34">
        <v>91065</v>
      </c>
    </row>
    <row r="25" spans="1:16" ht="36" x14ac:dyDescent="0.25">
      <c r="A25" s="162" t="s">
        <v>105</v>
      </c>
      <c r="B25" s="163"/>
      <c r="C25" s="164"/>
      <c r="D25" s="29" t="s">
        <v>36</v>
      </c>
      <c r="E25" s="30">
        <v>50265.51</v>
      </c>
      <c r="F25" s="30">
        <v>50265.51</v>
      </c>
      <c r="G25" s="30">
        <f>G26+G56</f>
        <v>47411.76</v>
      </c>
      <c r="H25" s="30">
        <f t="shared" ref="H25" si="2">H26+H56</f>
        <v>47795</v>
      </c>
      <c r="K25" s="58"/>
      <c r="L25" s="58"/>
      <c r="M25" s="58"/>
      <c r="N25" s="58"/>
      <c r="O25" s="58"/>
      <c r="P25" s="58"/>
    </row>
    <row r="26" spans="1:16" ht="15" customHeight="1" x14ac:dyDescent="0.25">
      <c r="A26" s="150" t="s">
        <v>102</v>
      </c>
      <c r="B26" s="151"/>
      <c r="C26" s="152"/>
      <c r="D26" s="36" t="s">
        <v>38</v>
      </c>
      <c r="E26" s="39">
        <v>42134.18</v>
      </c>
      <c r="F26" s="39">
        <v>42134.18</v>
      </c>
      <c r="G26" s="39">
        <f>G27</f>
        <v>39283.300000000003</v>
      </c>
      <c r="H26" s="39">
        <f t="shared" ref="H26" si="3">H27</f>
        <v>39842</v>
      </c>
    </row>
    <row r="27" spans="1:16" ht="15" customHeight="1" x14ac:dyDescent="0.25">
      <c r="A27" s="153" t="s">
        <v>103</v>
      </c>
      <c r="B27" s="154"/>
      <c r="C27" s="155"/>
      <c r="D27" s="40" t="s">
        <v>104</v>
      </c>
      <c r="E27" s="40">
        <v>42134.18</v>
      </c>
      <c r="F27" s="40">
        <v>42134.18</v>
      </c>
      <c r="G27" s="40">
        <f>G28</f>
        <v>39283.300000000003</v>
      </c>
      <c r="H27" s="40">
        <f t="shared" ref="H27" si="4">H28</f>
        <v>39842</v>
      </c>
    </row>
    <row r="28" spans="1:16" x14ac:dyDescent="0.25">
      <c r="A28" s="156">
        <v>3</v>
      </c>
      <c r="B28" s="157"/>
      <c r="C28" s="158"/>
      <c r="D28" s="37" t="s">
        <v>16</v>
      </c>
      <c r="E28" s="38">
        <v>42134.18</v>
      </c>
      <c r="F28" s="38">
        <v>42134.18</v>
      </c>
      <c r="G28" s="38">
        <f>G29+G53</f>
        <v>39283.300000000003</v>
      </c>
      <c r="H28" s="38">
        <f>H29+H53</f>
        <v>39842</v>
      </c>
    </row>
    <row r="29" spans="1:16" x14ac:dyDescent="0.25">
      <c r="A29" s="141">
        <v>32</v>
      </c>
      <c r="B29" s="142"/>
      <c r="C29" s="143"/>
      <c r="D29" s="60" t="s">
        <v>23</v>
      </c>
      <c r="E29" s="59">
        <v>41188.53</v>
      </c>
      <c r="F29" s="59">
        <v>41138.76</v>
      </c>
      <c r="G29" s="59">
        <f>G30+G34+G39++G48</f>
        <v>38155.160000000003</v>
      </c>
      <c r="H29" s="59">
        <f>H30+H34+H39++H48</f>
        <v>38812</v>
      </c>
    </row>
    <row r="30" spans="1:16" x14ac:dyDescent="0.25">
      <c r="A30" s="147" t="s">
        <v>175</v>
      </c>
      <c r="B30" s="148"/>
      <c r="C30" s="149"/>
      <c r="D30" s="78" t="s">
        <v>73</v>
      </c>
      <c r="E30" s="46">
        <v>608.33000000000004</v>
      </c>
      <c r="F30" s="34">
        <v>2654.46</v>
      </c>
      <c r="G30" s="80">
        <f>SUM(G31:G33)</f>
        <v>5362</v>
      </c>
      <c r="H30" s="80">
        <f>SUM(H31:H33)</f>
        <v>4816.7</v>
      </c>
    </row>
    <row r="31" spans="1:16" x14ac:dyDescent="0.25">
      <c r="A31" s="144">
        <v>3211</v>
      </c>
      <c r="B31" s="145"/>
      <c r="C31" s="146"/>
      <c r="D31" s="28" t="s">
        <v>39</v>
      </c>
      <c r="E31" s="46">
        <v>608.33000000000004</v>
      </c>
      <c r="F31" s="34">
        <v>2654.46</v>
      </c>
      <c r="G31" s="34">
        <v>4645.3</v>
      </c>
      <c r="H31" s="34">
        <v>4100</v>
      </c>
    </row>
    <row r="32" spans="1:16" x14ac:dyDescent="0.25">
      <c r="A32" s="144">
        <v>3213</v>
      </c>
      <c r="B32" s="145">
        <v>3213</v>
      </c>
      <c r="C32" s="146">
        <v>3213</v>
      </c>
      <c r="D32" s="28" t="s">
        <v>40</v>
      </c>
      <c r="E32" s="46">
        <v>1585.57</v>
      </c>
      <c r="F32" s="34">
        <v>716.7</v>
      </c>
      <c r="G32" s="34">
        <v>716.7</v>
      </c>
      <c r="H32" s="34">
        <v>716.7</v>
      </c>
    </row>
    <row r="33" spans="1:8" x14ac:dyDescent="0.25">
      <c r="A33" s="144" t="s">
        <v>179</v>
      </c>
      <c r="B33" s="145">
        <v>3213</v>
      </c>
      <c r="C33" s="146">
        <v>3213</v>
      </c>
      <c r="D33" s="28" t="s">
        <v>180</v>
      </c>
      <c r="E33" s="46">
        <v>1585.57</v>
      </c>
      <c r="F33" s="34">
        <v>716.7</v>
      </c>
      <c r="G33" s="34">
        <v>0</v>
      </c>
      <c r="H33" s="34">
        <v>0</v>
      </c>
    </row>
    <row r="34" spans="1:8" x14ac:dyDescent="0.25">
      <c r="A34" s="147" t="s">
        <v>181</v>
      </c>
      <c r="B34" s="148"/>
      <c r="C34" s="149"/>
      <c r="D34" s="78" t="s">
        <v>59</v>
      </c>
      <c r="E34" s="46">
        <v>608.33000000000004</v>
      </c>
      <c r="F34" s="34">
        <v>2654.46</v>
      </c>
      <c r="G34" s="80">
        <f>SUM(G35:G38)</f>
        <v>20363.66</v>
      </c>
      <c r="H34" s="80">
        <f t="shared" ref="H34" si="5">SUM(H35:H38)</f>
        <v>20509.54</v>
      </c>
    </row>
    <row r="35" spans="1:8" x14ac:dyDescent="0.25">
      <c r="A35" s="144">
        <v>3221</v>
      </c>
      <c r="B35" s="145">
        <v>3221</v>
      </c>
      <c r="C35" s="146">
        <v>3221</v>
      </c>
      <c r="D35" s="28" t="s">
        <v>41</v>
      </c>
      <c r="E35" s="46">
        <v>9019.48</v>
      </c>
      <c r="F35" s="34">
        <v>5513.44</v>
      </c>
      <c r="G35" s="34">
        <v>4742.8500000000004</v>
      </c>
      <c r="H35" s="34">
        <v>4500</v>
      </c>
    </row>
    <row r="36" spans="1:8" x14ac:dyDescent="0.25">
      <c r="A36" s="144">
        <v>3223</v>
      </c>
      <c r="B36" s="145">
        <v>3223</v>
      </c>
      <c r="C36" s="146">
        <v>3223</v>
      </c>
      <c r="D36" s="28" t="s">
        <v>42</v>
      </c>
      <c r="E36" s="46">
        <v>13453.95</v>
      </c>
      <c r="F36" s="34">
        <v>15926.74</v>
      </c>
      <c r="G36" s="34">
        <v>14599.51</v>
      </c>
      <c r="H36" s="34">
        <v>15151.85</v>
      </c>
    </row>
    <row r="37" spans="1:8" x14ac:dyDescent="0.25">
      <c r="A37" s="144">
        <v>3225</v>
      </c>
      <c r="B37" s="145">
        <v>3225</v>
      </c>
      <c r="C37" s="146">
        <v>3225</v>
      </c>
      <c r="D37" s="28" t="s">
        <v>43</v>
      </c>
      <c r="E37" s="46">
        <v>629.34</v>
      </c>
      <c r="F37" s="34">
        <v>1327.23</v>
      </c>
      <c r="G37" s="34">
        <v>663.61</v>
      </c>
      <c r="H37" s="34">
        <v>500</v>
      </c>
    </row>
    <row r="38" spans="1:8" x14ac:dyDescent="0.25">
      <c r="A38" s="144">
        <v>3227</v>
      </c>
      <c r="B38" s="145">
        <v>3227</v>
      </c>
      <c r="C38" s="146">
        <v>3227</v>
      </c>
      <c r="D38" s="28" t="s">
        <v>44</v>
      </c>
      <c r="E38" s="46">
        <v>320.29000000000002</v>
      </c>
      <c r="F38" s="34">
        <v>357.69</v>
      </c>
      <c r="G38" s="34">
        <v>357.69</v>
      </c>
      <c r="H38" s="34">
        <v>357.69</v>
      </c>
    </row>
    <row r="39" spans="1:8" x14ac:dyDescent="0.25">
      <c r="A39" s="147" t="s">
        <v>185</v>
      </c>
      <c r="B39" s="148"/>
      <c r="C39" s="149"/>
      <c r="D39" s="78" t="s">
        <v>61</v>
      </c>
      <c r="E39" s="46">
        <v>608.33000000000004</v>
      </c>
      <c r="F39" s="34">
        <v>2654.46</v>
      </c>
      <c r="G39" s="80">
        <f>SUM(G40:G47)</f>
        <v>11281.44</v>
      </c>
      <c r="H39" s="80">
        <f t="shared" ref="H39" si="6">SUM(H40:H47)</f>
        <v>12582.24</v>
      </c>
    </row>
    <row r="40" spans="1:8" x14ac:dyDescent="0.25">
      <c r="A40" s="144">
        <v>3231</v>
      </c>
      <c r="B40" s="145">
        <v>3231</v>
      </c>
      <c r="C40" s="146">
        <v>3231</v>
      </c>
      <c r="D40" s="28" t="s">
        <v>45</v>
      </c>
      <c r="E40" s="46">
        <v>1796.81</v>
      </c>
      <c r="F40" s="34">
        <v>1858.12</v>
      </c>
      <c r="G40" s="34">
        <v>2389.0100000000002</v>
      </c>
      <c r="H40" s="34">
        <v>2380</v>
      </c>
    </row>
    <row r="41" spans="1:8" x14ac:dyDescent="0.25">
      <c r="A41" s="144">
        <v>3233</v>
      </c>
      <c r="B41" s="145">
        <v>3233</v>
      </c>
      <c r="C41" s="146">
        <v>3233</v>
      </c>
      <c r="D41" s="28" t="s">
        <v>46</v>
      </c>
      <c r="E41" s="46">
        <v>0</v>
      </c>
      <c r="F41" s="34">
        <v>66.36</v>
      </c>
      <c r="G41" s="34">
        <v>66.36</v>
      </c>
      <c r="H41" s="34">
        <v>10</v>
      </c>
    </row>
    <row r="42" spans="1:8" x14ac:dyDescent="0.25">
      <c r="A42" s="144">
        <v>3234</v>
      </c>
      <c r="B42" s="145">
        <v>3234</v>
      </c>
      <c r="C42" s="146">
        <v>3234</v>
      </c>
      <c r="D42" s="28" t="s">
        <v>47</v>
      </c>
      <c r="E42" s="46">
        <v>3623.21</v>
      </c>
      <c r="F42" s="34">
        <v>4379.8500000000004</v>
      </c>
      <c r="G42" s="34">
        <v>3716.24</v>
      </c>
      <c r="H42" s="34">
        <v>3716.24</v>
      </c>
    </row>
    <row r="43" spans="1:8" x14ac:dyDescent="0.25">
      <c r="A43" s="144">
        <v>3235</v>
      </c>
      <c r="B43" s="145">
        <v>3235</v>
      </c>
      <c r="C43" s="146">
        <v>3235</v>
      </c>
      <c r="D43" s="28" t="s">
        <v>48</v>
      </c>
      <c r="E43" s="46">
        <v>211.93</v>
      </c>
      <c r="F43" s="34">
        <v>305.26</v>
      </c>
      <c r="G43" s="34">
        <v>331.81</v>
      </c>
      <c r="H43" s="34">
        <v>426</v>
      </c>
    </row>
    <row r="44" spans="1:8" x14ac:dyDescent="0.25">
      <c r="A44" s="144">
        <v>3236</v>
      </c>
      <c r="B44" s="145">
        <v>3236</v>
      </c>
      <c r="C44" s="146">
        <v>3236</v>
      </c>
      <c r="D44" s="28" t="s">
        <v>49</v>
      </c>
      <c r="E44" s="46">
        <v>1864.18</v>
      </c>
      <c r="F44" s="34">
        <v>1592.67</v>
      </c>
      <c r="G44" s="34">
        <v>1990.84</v>
      </c>
      <c r="H44" s="34">
        <v>3100</v>
      </c>
    </row>
    <row r="45" spans="1:8" x14ac:dyDescent="0.25">
      <c r="A45" s="144">
        <v>3237</v>
      </c>
      <c r="B45" s="145">
        <v>3237</v>
      </c>
      <c r="C45" s="146">
        <v>3237</v>
      </c>
      <c r="D45" s="28" t="s">
        <v>50</v>
      </c>
      <c r="E45" s="46">
        <v>987.13</v>
      </c>
      <c r="F45" s="34">
        <v>912.34</v>
      </c>
      <c r="G45" s="34">
        <v>597.25</v>
      </c>
      <c r="H45" s="34">
        <v>300</v>
      </c>
    </row>
    <row r="46" spans="1:8" x14ac:dyDescent="0.25">
      <c r="A46" s="144">
        <v>3238</v>
      </c>
      <c r="B46" s="145">
        <v>3238</v>
      </c>
      <c r="C46" s="146">
        <v>3238</v>
      </c>
      <c r="D46" s="28" t="s">
        <v>51</v>
      </c>
      <c r="E46" s="46">
        <v>2329.14</v>
      </c>
      <c r="F46" s="34">
        <v>1924.48</v>
      </c>
      <c r="G46" s="34">
        <v>1725.4</v>
      </c>
      <c r="H46" s="34">
        <v>2350</v>
      </c>
    </row>
    <row r="47" spans="1:8" x14ac:dyDescent="0.25">
      <c r="A47" s="144">
        <v>3239</v>
      </c>
      <c r="B47" s="145">
        <v>3239</v>
      </c>
      <c r="C47" s="146">
        <v>3239</v>
      </c>
      <c r="D47" s="28" t="s">
        <v>52</v>
      </c>
      <c r="E47" s="46">
        <v>2615.71</v>
      </c>
      <c r="F47" s="34">
        <v>1592.67</v>
      </c>
      <c r="G47" s="34">
        <v>464.53</v>
      </c>
      <c r="H47" s="34">
        <v>300</v>
      </c>
    </row>
    <row r="48" spans="1:8" x14ac:dyDescent="0.25">
      <c r="A48" s="147" t="s">
        <v>176</v>
      </c>
      <c r="B48" s="148"/>
      <c r="C48" s="149"/>
      <c r="D48" s="78" t="s">
        <v>66</v>
      </c>
      <c r="E48" s="46">
        <v>608.33000000000004</v>
      </c>
      <c r="F48" s="34">
        <v>2654.46</v>
      </c>
      <c r="G48" s="80">
        <f>SUM(G49:G52)</f>
        <v>1148.06</v>
      </c>
      <c r="H48" s="80">
        <f t="shared" ref="H48" si="7">SUM(H49:H52)</f>
        <v>903.52</v>
      </c>
    </row>
    <row r="49" spans="1:8" x14ac:dyDescent="0.25">
      <c r="A49" s="144">
        <v>3293</v>
      </c>
      <c r="B49" s="145">
        <v>3293</v>
      </c>
      <c r="C49" s="146">
        <v>3293</v>
      </c>
      <c r="D49" s="28" t="s">
        <v>53</v>
      </c>
      <c r="E49" s="46">
        <v>14.19</v>
      </c>
      <c r="F49" s="34">
        <v>530.89</v>
      </c>
      <c r="G49" s="34">
        <v>398.17</v>
      </c>
      <c r="H49" s="34">
        <v>398.17</v>
      </c>
    </row>
    <row r="50" spans="1:8" x14ac:dyDescent="0.25">
      <c r="A50" s="144">
        <v>3294</v>
      </c>
      <c r="B50" s="145">
        <v>3294</v>
      </c>
      <c r="C50" s="146">
        <v>3294</v>
      </c>
      <c r="D50" s="28" t="s">
        <v>54</v>
      </c>
      <c r="E50" s="46">
        <v>132.72</v>
      </c>
      <c r="F50" s="34">
        <v>152.63</v>
      </c>
      <c r="G50" s="34">
        <v>152.63</v>
      </c>
      <c r="H50" s="34">
        <v>152.63</v>
      </c>
    </row>
    <row r="51" spans="1:8" x14ac:dyDescent="0.25">
      <c r="A51" s="144">
        <v>3295</v>
      </c>
      <c r="B51" s="145">
        <v>3295</v>
      </c>
      <c r="C51" s="146">
        <v>3295</v>
      </c>
      <c r="D51" s="28" t="s">
        <v>55</v>
      </c>
      <c r="E51" s="46">
        <v>31.85</v>
      </c>
      <c r="F51" s="34">
        <v>132.72</v>
      </c>
      <c r="G51" s="34">
        <v>132.72</v>
      </c>
      <c r="H51" s="34">
        <v>132.72</v>
      </c>
    </row>
    <row r="52" spans="1:8" x14ac:dyDescent="0.25">
      <c r="A52" s="144">
        <v>3299</v>
      </c>
      <c r="B52" s="145">
        <v>3299</v>
      </c>
      <c r="C52" s="146">
        <v>3299</v>
      </c>
      <c r="D52" s="28" t="s">
        <v>56</v>
      </c>
      <c r="E52" s="46">
        <v>1964.7</v>
      </c>
      <c r="F52" s="34">
        <v>1194.51</v>
      </c>
      <c r="G52" s="34">
        <v>464.54</v>
      </c>
      <c r="H52" s="34">
        <v>220</v>
      </c>
    </row>
    <row r="53" spans="1:8" x14ac:dyDescent="0.25">
      <c r="A53" s="141">
        <v>34</v>
      </c>
      <c r="B53" s="142"/>
      <c r="C53" s="143"/>
      <c r="D53" s="60" t="s">
        <v>82</v>
      </c>
      <c r="E53" s="59">
        <v>945.65</v>
      </c>
      <c r="F53" s="59">
        <v>995.42</v>
      </c>
      <c r="G53" s="59">
        <f>G55</f>
        <v>1128.1400000000001</v>
      </c>
      <c r="H53" s="59">
        <f>H55</f>
        <v>1030</v>
      </c>
    </row>
    <row r="54" spans="1:8" x14ac:dyDescent="0.25">
      <c r="A54" s="147" t="s">
        <v>190</v>
      </c>
      <c r="B54" s="148"/>
      <c r="C54" s="149"/>
      <c r="D54" s="78" t="s">
        <v>232</v>
      </c>
      <c r="E54" s="46">
        <v>608.33000000000004</v>
      </c>
      <c r="F54" s="34">
        <v>2654.46</v>
      </c>
      <c r="G54" s="80">
        <f>G55</f>
        <v>1128.1400000000001</v>
      </c>
      <c r="H54" s="80">
        <f>H55</f>
        <v>1030</v>
      </c>
    </row>
    <row r="55" spans="1:8" x14ac:dyDescent="0.25">
      <c r="A55" s="144" t="s">
        <v>144</v>
      </c>
      <c r="B55" s="145"/>
      <c r="C55" s="146"/>
      <c r="D55" s="31" t="s">
        <v>57</v>
      </c>
      <c r="E55" s="46">
        <v>945.65</v>
      </c>
      <c r="F55" s="34">
        <v>995.42</v>
      </c>
      <c r="G55" s="34">
        <v>1128.1400000000001</v>
      </c>
      <c r="H55" s="34">
        <v>1030</v>
      </c>
    </row>
    <row r="56" spans="1:8" x14ac:dyDescent="0.25">
      <c r="A56" s="150" t="s">
        <v>106</v>
      </c>
      <c r="B56" s="151"/>
      <c r="C56" s="152"/>
      <c r="D56" s="36" t="s">
        <v>107</v>
      </c>
      <c r="E56" s="39">
        <v>8131.33</v>
      </c>
      <c r="F56" s="39">
        <v>8131.33</v>
      </c>
      <c r="G56" s="39">
        <f t="shared" ref="G56:H58" si="8">G57</f>
        <v>8128.46</v>
      </c>
      <c r="H56" s="39">
        <f t="shared" si="8"/>
        <v>7953</v>
      </c>
    </row>
    <row r="57" spans="1:8" ht="15" customHeight="1" x14ac:dyDescent="0.25">
      <c r="A57" s="153" t="s">
        <v>103</v>
      </c>
      <c r="B57" s="154"/>
      <c r="C57" s="155"/>
      <c r="D57" s="40" t="s">
        <v>104</v>
      </c>
      <c r="E57" s="40">
        <v>8131.33</v>
      </c>
      <c r="F57" s="40">
        <v>8131.33</v>
      </c>
      <c r="G57" s="40">
        <f t="shared" si="8"/>
        <v>8128.46</v>
      </c>
      <c r="H57" s="40">
        <f t="shared" si="8"/>
        <v>7953</v>
      </c>
    </row>
    <row r="58" spans="1:8" x14ac:dyDescent="0.25">
      <c r="A58" s="156">
        <v>3</v>
      </c>
      <c r="B58" s="157"/>
      <c r="C58" s="158"/>
      <c r="D58" s="37" t="s">
        <v>16</v>
      </c>
      <c r="E58" s="38">
        <v>8131.33</v>
      </c>
      <c r="F58" s="38">
        <v>8131.33</v>
      </c>
      <c r="G58" s="38">
        <f t="shared" si="8"/>
        <v>8128.46</v>
      </c>
      <c r="H58" s="38">
        <f t="shared" si="8"/>
        <v>7953</v>
      </c>
    </row>
    <row r="59" spans="1:8" x14ac:dyDescent="0.25">
      <c r="A59" s="141">
        <v>32</v>
      </c>
      <c r="B59" s="142"/>
      <c r="C59" s="143"/>
      <c r="D59" s="60" t="s">
        <v>23</v>
      </c>
      <c r="E59" s="70">
        <v>8131.33</v>
      </c>
      <c r="F59" s="59">
        <v>8131.33</v>
      </c>
      <c r="G59" s="59">
        <f>G60+G62</f>
        <v>8128.46</v>
      </c>
      <c r="H59" s="59">
        <f>H60+H62</f>
        <v>7953</v>
      </c>
    </row>
    <row r="60" spans="1:8" x14ac:dyDescent="0.25">
      <c r="A60" s="147" t="s">
        <v>181</v>
      </c>
      <c r="B60" s="148"/>
      <c r="C60" s="149"/>
      <c r="D60" s="78" t="s">
        <v>59</v>
      </c>
      <c r="E60" s="46">
        <v>608.33000000000004</v>
      </c>
      <c r="F60" s="34">
        <v>2654.46</v>
      </c>
      <c r="G60" s="80">
        <f>G61</f>
        <v>2123.56</v>
      </c>
      <c r="H60" s="80">
        <f>H61</f>
        <v>2953</v>
      </c>
    </row>
    <row r="61" spans="1:8" x14ac:dyDescent="0.25">
      <c r="A61" s="177">
        <v>3224</v>
      </c>
      <c r="B61" s="178"/>
      <c r="C61" s="179"/>
      <c r="D61" s="28" t="s">
        <v>60</v>
      </c>
      <c r="E61" s="46">
        <v>2389.0100000000002</v>
      </c>
      <c r="F61" s="34">
        <v>2389.0100000000002</v>
      </c>
      <c r="G61" s="34">
        <v>2123.56</v>
      </c>
      <c r="H61" s="34">
        <v>2953</v>
      </c>
    </row>
    <row r="62" spans="1:8" x14ac:dyDescent="0.25">
      <c r="A62" s="147" t="s">
        <v>185</v>
      </c>
      <c r="B62" s="148"/>
      <c r="C62" s="149"/>
      <c r="D62" s="78" t="s">
        <v>61</v>
      </c>
      <c r="E62" s="46">
        <v>608.33000000000004</v>
      </c>
      <c r="F62" s="34">
        <v>2654.46</v>
      </c>
      <c r="G62" s="80">
        <f>G63</f>
        <v>6004.9</v>
      </c>
      <c r="H62" s="80">
        <f>H63</f>
        <v>5000</v>
      </c>
    </row>
    <row r="63" spans="1:8" x14ac:dyDescent="0.25">
      <c r="A63" s="177">
        <v>3232</v>
      </c>
      <c r="B63" s="178"/>
      <c r="C63" s="179"/>
      <c r="D63" s="31" t="s">
        <v>62</v>
      </c>
      <c r="E63" s="46">
        <v>5742.32</v>
      </c>
      <c r="F63" s="34">
        <v>5742.32</v>
      </c>
      <c r="G63" s="34">
        <v>6004.9</v>
      </c>
      <c r="H63" s="34">
        <v>5000</v>
      </c>
    </row>
    <row r="64" spans="1:8" ht="45" customHeight="1" x14ac:dyDescent="0.25">
      <c r="A64" s="162" t="s">
        <v>105</v>
      </c>
      <c r="B64" s="163"/>
      <c r="C64" s="164"/>
      <c r="D64" s="29" t="s">
        <v>63</v>
      </c>
      <c r="E64" s="30">
        <v>30787.37</v>
      </c>
      <c r="F64" s="30">
        <v>35566.14</v>
      </c>
      <c r="G64" s="30">
        <f>G65+G84+G91+G97+G104+G131+G169</f>
        <v>34059.46</v>
      </c>
      <c r="H64" s="30">
        <f>H65+H84+H91+H97+H104+H131+H169+H78</f>
        <v>83681.289999999994</v>
      </c>
    </row>
    <row r="65" spans="1:8" ht="14.25" customHeight="1" x14ac:dyDescent="0.25">
      <c r="A65" s="150" t="s">
        <v>77</v>
      </c>
      <c r="B65" s="151"/>
      <c r="C65" s="152"/>
      <c r="D65" s="36" t="s">
        <v>108</v>
      </c>
      <c r="E65" s="39">
        <v>663.61</v>
      </c>
      <c r="F65" s="39">
        <v>663.61</v>
      </c>
      <c r="G65" s="39">
        <f>G66</f>
        <v>663.61</v>
      </c>
      <c r="H65" s="39">
        <f t="shared" ref="H65" si="9">H66</f>
        <v>666</v>
      </c>
    </row>
    <row r="66" spans="1:8" ht="15" customHeight="1" x14ac:dyDescent="0.25">
      <c r="A66" s="153" t="s">
        <v>109</v>
      </c>
      <c r="B66" s="154"/>
      <c r="C66" s="155"/>
      <c r="D66" s="40" t="s">
        <v>15</v>
      </c>
      <c r="E66" s="40">
        <v>663.61</v>
      </c>
      <c r="F66" s="40">
        <v>663.61</v>
      </c>
      <c r="G66" s="40">
        <f>G67</f>
        <v>663.61</v>
      </c>
      <c r="H66" s="40">
        <f t="shared" ref="H66" si="10">H67</f>
        <v>666</v>
      </c>
    </row>
    <row r="67" spans="1:8" x14ac:dyDescent="0.25">
      <c r="A67" s="156">
        <v>3</v>
      </c>
      <c r="B67" s="157"/>
      <c r="C67" s="158"/>
      <c r="D67" s="37" t="s">
        <v>16</v>
      </c>
      <c r="E67" s="38">
        <v>663.61</v>
      </c>
      <c r="F67" s="38">
        <v>663.61</v>
      </c>
      <c r="G67" s="38">
        <f>G68</f>
        <v>663.61</v>
      </c>
      <c r="H67" s="38">
        <f t="shared" ref="H67" si="11">H68</f>
        <v>666</v>
      </c>
    </row>
    <row r="68" spans="1:8" x14ac:dyDescent="0.25">
      <c r="A68" s="141">
        <v>32</v>
      </c>
      <c r="B68" s="142"/>
      <c r="C68" s="143"/>
      <c r="D68" s="60" t="s">
        <v>23</v>
      </c>
      <c r="E68" s="59">
        <v>663.61</v>
      </c>
      <c r="F68" s="59">
        <v>663.61</v>
      </c>
      <c r="G68" s="59">
        <f>G69+G72+G74+G76</f>
        <v>663.61</v>
      </c>
      <c r="H68" s="59">
        <f>H69+H72+H74+H76</f>
        <v>666</v>
      </c>
    </row>
    <row r="69" spans="1:8" x14ac:dyDescent="0.25">
      <c r="A69" s="147" t="s">
        <v>175</v>
      </c>
      <c r="B69" s="148"/>
      <c r="C69" s="149"/>
      <c r="D69" s="78" t="s">
        <v>73</v>
      </c>
      <c r="E69" s="46">
        <v>608.33000000000004</v>
      </c>
      <c r="F69" s="34">
        <v>2654.46</v>
      </c>
      <c r="G69" s="80">
        <f>SUM(G70:G71)</f>
        <v>530.89</v>
      </c>
      <c r="H69" s="80">
        <f>SUM(H70:H71)</f>
        <v>0</v>
      </c>
    </row>
    <row r="70" spans="1:8" x14ac:dyDescent="0.25">
      <c r="A70" s="144">
        <v>3211</v>
      </c>
      <c r="B70" s="145"/>
      <c r="C70" s="146"/>
      <c r="D70" s="28" t="s">
        <v>39</v>
      </c>
      <c r="E70" s="46"/>
      <c r="F70" s="34"/>
      <c r="G70" s="34">
        <v>132.72</v>
      </c>
      <c r="H70" s="34">
        <v>0</v>
      </c>
    </row>
    <row r="71" spans="1:8" x14ac:dyDescent="0.25">
      <c r="A71" s="144">
        <v>3213</v>
      </c>
      <c r="B71" s="145">
        <v>3213</v>
      </c>
      <c r="C71" s="146">
        <v>3213</v>
      </c>
      <c r="D71" s="28" t="s">
        <v>40</v>
      </c>
      <c r="E71" s="46"/>
      <c r="F71" s="34"/>
      <c r="G71" s="34">
        <v>398.17</v>
      </c>
      <c r="H71" s="34">
        <v>0</v>
      </c>
    </row>
    <row r="72" spans="1:8" x14ac:dyDescent="0.25">
      <c r="A72" s="147" t="s">
        <v>181</v>
      </c>
      <c r="B72" s="148"/>
      <c r="C72" s="149"/>
      <c r="D72" s="78" t="s">
        <v>59</v>
      </c>
      <c r="E72" s="46">
        <v>608.33000000000004</v>
      </c>
      <c r="F72" s="34">
        <v>2654.46</v>
      </c>
      <c r="G72" s="80">
        <f>G73</f>
        <v>66.36</v>
      </c>
      <c r="H72" s="80">
        <f t="shared" ref="H72" si="12">H73</f>
        <v>0</v>
      </c>
    </row>
    <row r="73" spans="1:8" x14ac:dyDescent="0.25">
      <c r="A73" s="144">
        <v>3221</v>
      </c>
      <c r="B73" s="145">
        <v>3221</v>
      </c>
      <c r="C73" s="146">
        <v>3221</v>
      </c>
      <c r="D73" s="28" t="s">
        <v>41</v>
      </c>
      <c r="E73" s="46"/>
      <c r="F73" s="34"/>
      <c r="G73" s="34">
        <v>66.36</v>
      </c>
      <c r="H73" s="34">
        <v>0</v>
      </c>
    </row>
    <row r="74" spans="1:8" x14ac:dyDescent="0.25">
      <c r="A74" s="147" t="s">
        <v>176</v>
      </c>
      <c r="B74" s="148"/>
      <c r="C74" s="149"/>
      <c r="D74" s="78" t="s">
        <v>66</v>
      </c>
      <c r="E74" s="46">
        <v>608.33000000000004</v>
      </c>
      <c r="F74" s="34">
        <v>2654.46</v>
      </c>
      <c r="G74" s="80">
        <f>G75</f>
        <v>56.36</v>
      </c>
      <c r="H74" s="80">
        <f>H75</f>
        <v>0</v>
      </c>
    </row>
    <row r="75" spans="1:8" x14ac:dyDescent="0.25">
      <c r="A75" s="144" t="s">
        <v>145</v>
      </c>
      <c r="B75" s="145">
        <v>3223</v>
      </c>
      <c r="C75" s="146">
        <v>3223</v>
      </c>
      <c r="D75" s="31" t="s">
        <v>53</v>
      </c>
      <c r="E75" s="46"/>
      <c r="F75" s="34"/>
      <c r="G75" s="34">
        <v>56.36</v>
      </c>
      <c r="H75" s="34">
        <v>0</v>
      </c>
    </row>
    <row r="76" spans="1:8" x14ac:dyDescent="0.25">
      <c r="A76" s="147" t="s">
        <v>176</v>
      </c>
      <c r="B76" s="148"/>
      <c r="C76" s="149"/>
      <c r="D76" s="78" t="s">
        <v>231</v>
      </c>
      <c r="E76" s="46">
        <v>608.33000000000004</v>
      </c>
      <c r="F76" s="34">
        <v>2654.46</v>
      </c>
      <c r="G76" s="80">
        <f>G77</f>
        <v>10</v>
      </c>
      <c r="H76" s="80">
        <f>H77</f>
        <v>666</v>
      </c>
    </row>
    <row r="77" spans="1:8" x14ac:dyDescent="0.25">
      <c r="A77" s="144" t="s">
        <v>147</v>
      </c>
      <c r="B77" s="145">
        <v>3213</v>
      </c>
      <c r="C77" s="146">
        <v>3213</v>
      </c>
      <c r="D77" s="28" t="s">
        <v>66</v>
      </c>
      <c r="E77" s="46">
        <v>663.61</v>
      </c>
      <c r="F77" s="34">
        <v>663.61</v>
      </c>
      <c r="G77" s="34">
        <v>10</v>
      </c>
      <c r="H77" s="34">
        <v>666</v>
      </c>
    </row>
    <row r="78" spans="1:8" ht="24.75" customHeight="1" x14ac:dyDescent="0.25">
      <c r="A78" s="150" t="s">
        <v>255</v>
      </c>
      <c r="B78" s="151"/>
      <c r="C78" s="152"/>
      <c r="D78" s="36" t="s">
        <v>256</v>
      </c>
      <c r="E78" s="39">
        <v>519.35</v>
      </c>
      <c r="F78" s="39">
        <v>519.34</v>
      </c>
      <c r="G78" s="39">
        <f>G79</f>
        <v>0</v>
      </c>
      <c r="H78" s="39">
        <f>H79</f>
        <v>95</v>
      </c>
    </row>
    <row r="79" spans="1:8" ht="15" customHeight="1" x14ac:dyDescent="0.25">
      <c r="A79" s="153" t="s">
        <v>109</v>
      </c>
      <c r="B79" s="154"/>
      <c r="C79" s="155"/>
      <c r="D79" s="40" t="s">
        <v>15</v>
      </c>
      <c r="E79" s="40">
        <v>519.35</v>
      </c>
      <c r="F79" s="40">
        <v>519.34</v>
      </c>
      <c r="G79" s="40">
        <f>G80</f>
        <v>0</v>
      </c>
      <c r="H79" s="40">
        <f t="shared" ref="H79:H81" si="13">H80</f>
        <v>95</v>
      </c>
    </row>
    <row r="80" spans="1:8" x14ac:dyDescent="0.25">
      <c r="A80" s="156">
        <v>3</v>
      </c>
      <c r="B80" s="157"/>
      <c r="C80" s="158"/>
      <c r="D80" s="112" t="s">
        <v>16</v>
      </c>
      <c r="E80" s="38">
        <v>519.35</v>
      </c>
      <c r="F80" s="38">
        <v>519.34</v>
      </c>
      <c r="G80" s="38">
        <f>G81</f>
        <v>0</v>
      </c>
      <c r="H80" s="38">
        <f t="shared" si="13"/>
        <v>95</v>
      </c>
    </row>
    <row r="81" spans="1:8" x14ac:dyDescent="0.25">
      <c r="A81" s="141">
        <v>32</v>
      </c>
      <c r="B81" s="142"/>
      <c r="C81" s="143"/>
      <c r="D81" s="60" t="s">
        <v>23</v>
      </c>
      <c r="E81" s="59">
        <v>519.35</v>
      </c>
      <c r="F81" s="59">
        <v>519.34</v>
      </c>
      <c r="G81" s="59">
        <f>G82</f>
        <v>0</v>
      </c>
      <c r="H81" s="59">
        <f t="shared" si="13"/>
        <v>95</v>
      </c>
    </row>
    <row r="82" spans="1:8" x14ac:dyDescent="0.25">
      <c r="A82" s="147" t="s">
        <v>185</v>
      </c>
      <c r="B82" s="148"/>
      <c r="C82" s="149"/>
      <c r="D82" s="78" t="s">
        <v>61</v>
      </c>
      <c r="E82" s="46">
        <v>608.33000000000004</v>
      </c>
      <c r="F82" s="34">
        <v>2654.46</v>
      </c>
      <c r="G82" s="80">
        <f>SUM(G83:G83)</f>
        <v>0</v>
      </c>
      <c r="H82" s="80">
        <f>SUM(H83:H83)</f>
        <v>95</v>
      </c>
    </row>
    <row r="83" spans="1:8" x14ac:dyDescent="0.25">
      <c r="A83" s="144" t="s">
        <v>188</v>
      </c>
      <c r="B83" s="145"/>
      <c r="C83" s="146"/>
      <c r="D83" s="31" t="s">
        <v>50</v>
      </c>
      <c r="E83" s="46">
        <v>519.35</v>
      </c>
      <c r="F83" s="34">
        <v>519.34</v>
      </c>
      <c r="G83" s="34">
        <v>0</v>
      </c>
      <c r="H83" s="34">
        <v>95</v>
      </c>
    </row>
    <row r="84" spans="1:8" ht="14.25" customHeight="1" x14ac:dyDescent="0.25">
      <c r="A84" s="150" t="s">
        <v>64</v>
      </c>
      <c r="B84" s="151"/>
      <c r="C84" s="152"/>
      <c r="D84" s="36" t="s">
        <v>110</v>
      </c>
      <c r="E84" s="39">
        <v>0</v>
      </c>
      <c r="F84" s="39">
        <v>1500.98</v>
      </c>
      <c r="G84" s="39">
        <f t="shared" ref="G84:H87" si="14">G85</f>
        <v>2123.5700000000002</v>
      </c>
      <c r="H84" s="39">
        <f t="shared" si="14"/>
        <v>0</v>
      </c>
    </row>
    <row r="85" spans="1:8" ht="15" customHeight="1" x14ac:dyDescent="0.25">
      <c r="A85" s="153" t="s">
        <v>109</v>
      </c>
      <c r="B85" s="154"/>
      <c r="C85" s="155"/>
      <c r="D85" s="40" t="s">
        <v>15</v>
      </c>
      <c r="E85" s="40">
        <v>0</v>
      </c>
      <c r="F85" s="40">
        <v>1500.98</v>
      </c>
      <c r="G85" s="40">
        <f t="shared" si="14"/>
        <v>2123.5700000000002</v>
      </c>
      <c r="H85" s="40">
        <f t="shared" si="14"/>
        <v>0</v>
      </c>
    </row>
    <row r="86" spans="1:8" x14ac:dyDescent="0.25">
      <c r="A86" s="156">
        <v>3</v>
      </c>
      <c r="B86" s="157"/>
      <c r="C86" s="158"/>
      <c r="D86" s="37" t="s">
        <v>16</v>
      </c>
      <c r="E86" s="38">
        <v>0</v>
      </c>
      <c r="F86" s="38">
        <v>1500.98</v>
      </c>
      <c r="G86" s="38">
        <f t="shared" si="14"/>
        <v>2123.5700000000002</v>
      </c>
      <c r="H86" s="38">
        <f t="shared" si="14"/>
        <v>0</v>
      </c>
    </row>
    <row r="87" spans="1:8" x14ac:dyDescent="0.25">
      <c r="A87" s="141">
        <v>32</v>
      </c>
      <c r="B87" s="142"/>
      <c r="C87" s="143"/>
      <c r="D87" s="60" t="s">
        <v>23</v>
      </c>
      <c r="E87" s="59">
        <v>0</v>
      </c>
      <c r="F87" s="59">
        <v>1500.98</v>
      </c>
      <c r="G87" s="59">
        <f t="shared" si="14"/>
        <v>2123.5700000000002</v>
      </c>
      <c r="H87" s="59">
        <f t="shared" si="14"/>
        <v>0</v>
      </c>
    </row>
    <row r="88" spans="1:8" x14ac:dyDescent="0.25">
      <c r="A88" s="147" t="s">
        <v>176</v>
      </c>
      <c r="B88" s="148"/>
      <c r="C88" s="149"/>
      <c r="D88" s="78" t="s">
        <v>66</v>
      </c>
      <c r="E88" s="46">
        <v>608.33000000000004</v>
      </c>
      <c r="F88" s="34">
        <v>2654.46</v>
      </c>
      <c r="G88" s="80">
        <f>SUM(G89:G90)</f>
        <v>2123.5700000000002</v>
      </c>
      <c r="H88" s="80">
        <f t="shared" ref="H88" si="15">SUM(H89:H90)</f>
        <v>0</v>
      </c>
    </row>
    <row r="89" spans="1:8" x14ac:dyDescent="0.25">
      <c r="A89" s="159" t="s">
        <v>146</v>
      </c>
      <c r="B89" s="160"/>
      <c r="C89" s="161"/>
      <c r="D89" s="85" t="s">
        <v>65</v>
      </c>
      <c r="E89" s="86"/>
      <c r="F89" s="72">
        <v>1059.0999999999999</v>
      </c>
      <c r="G89" s="72">
        <v>1327.23</v>
      </c>
      <c r="H89" s="72">
        <v>0</v>
      </c>
    </row>
    <row r="90" spans="1:8" x14ac:dyDescent="0.25">
      <c r="A90" s="159" t="s">
        <v>147</v>
      </c>
      <c r="B90" s="160">
        <v>3213</v>
      </c>
      <c r="C90" s="161">
        <v>3213</v>
      </c>
      <c r="D90" s="85" t="s">
        <v>66</v>
      </c>
      <c r="E90" s="86"/>
      <c r="F90" s="72">
        <v>441.88</v>
      </c>
      <c r="G90" s="72">
        <v>796.34</v>
      </c>
      <c r="H90" s="72">
        <v>0</v>
      </c>
    </row>
    <row r="91" spans="1:8" ht="14.25" customHeight="1" x14ac:dyDescent="0.25">
      <c r="A91" s="150" t="s">
        <v>67</v>
      </c>
      <c r="B91" s="151"/>
      <c r="C91" s="152"/>
      <c r="D91" s="36" t="s">
        <v>111</v>
      </c>
      <c r="E91" s="39">
        <v>0</v>
      </c>
      <c r="F91" s="39">
        <v>530.89</v>
      </c>
      <c r="G91" s="39">
        <f>G92</f>
        <v>530.89</v>
      </c>
      <c r="H91" s="39">
        <f t="shared" ref="H91" si="16">H92</f>
        <v>0</v>
      </c>
    </row>
    <row r="92" spans="1:8" ht="15" customHeight="1" x14ac:dyDescent="0.25">
      <c r="A92" s="153" t="s">
        <v>109</v>
      </c>
      <c r="B92" s="154"/>
      <c r="C92" s="155"/>
      <c r="D92" s="40" t="s">
        <v>15</v>
      </c>
      <c r="E92" s="40">
        <v>0</v>
      </c>
      <c r="F92" s="40">
        <v>530.89</v>
      </c>
      <c r="G92" s="40">
        <f>G93</f>
        <v>530.89</v>
      </c>
      <c r="H92" s="40">
        <f t="shared" ref="H92" si="17">H93</f>
        <v>0</v>
      </c>
    </row>
    <row r="93" spans="1:8" x14ac:dyDescent="0.25">
      <c r="A93" s="156">
        <v>3</v>
      </c>
      <c r="B93" s="157"/>
      <c r="C93" s="158"/>
      <c r="D93" s="37" t="s">
        <v>16</v>
      </c>
      <c r="E93" s="38">
        <v>0</v>
      </c>
      <c r="F93" s="38">
        <v>530.89</v>
      </c>
      <c r="G93" s="38">
        <f>G94</f>
        <v>530.89</v>
      </c>
      <c r="H93" s="38">
        <f t="shared" ref="H93" si="18">H94</f>
        <v>0</v>
      </c>
    </row>
    <row r="94" spans="1:8" x14ac:dyDescent="0.25">
      <c r="A94" s="141">
        <v>32</v>
      </c>
      <c r="B94" s="142"/>
      <c r="C94" s="143"/>
      <c r="D94" s="60" t="s">
        <v>23</v>
      </c>
      <c r="E94" s="59">
        <v>0</v>
      </c>
      <c r="F94" s="59">
        <v>530.89</v>
      </c>
      <c r="G94" s="59">
        <f>G95</f>
        <v>530.89</v>
      </c>
      <c r="H94" s="59">
        <f t="shared" ref="H94" si="19">H95</f>
        <v>0</v>
      </c>
    </row>
    <row r="95" spans="1:8" x14ac:dyDescent="0.25">
      <c r="A95" s="147" t="s">
        <v>176</v>
      </c>
      <c r="B95" s="148"/>
      <c r="C95" s="149"/>
      <c r="D95" s="78" t="s">
        <v>66</v>
      </c>
      <c r="E95" s="46">
        <v>608.33000000000004</v>
      </c>
      <c r="F95" s="34">
        <v>2654.46</v>
      </c>
      <c r="G95" s="80">
        <f>G96</f>
        <v>530.89</v>
      </c>
      <c r="H95" s="80">
        <f t="shared" ref="H95" si="20">H96</f>
        <v>0</v>
      </c>
    </row>
    <row r="96" spans="1:8" x14ac:dyDescent="0.25">
      <c r="A96" s="159" t="s">
        <v>147</v>
      </c>
      <c r="B96" s="160"/>
      <c r="C96" s="161"/>
      <c r="D96" s="31" t="s">
        <v>66</v>
      </c>
      <c r="E96" s="86"/>
      <c r="F96" s="72">
        <v>530.89</v>
      </c>
      <c r="G96" s="72">
        <v>530.89</v>
      </c>
      <c r="H96" s="72">
        <v>0</v>
      </c>
    </row>
    <row r="97" spans="1:8" ht="14.25" customHeight="1" x14ac:dyDescent="0.25">
      <c r="A97" s="150" t="s">
        <v>116</v>
      </c>
      <c r="B97" s="151"/>
      <c r="C97" s="152"/>
      <c r="D97" s="36" t="s">
        <v>115</v>
      </c>
      <c r="E97" s="39">
        <v>519.35</v>
      </c>
      <c r="F97" s="39">
        <v>519.34</v>
      </c>
      <c r="G97" s="39">
        <f>G98</f>
        <v>519.34</v>
      </c>
      <c r="H97" s="39">
        <f>H98</f>
        <v>530.88</v>
      </c>
    </row>
    <row r="98" spans="1:8" ht="15" customHeight="1" x14ac:dyDescent="0.25">
      <c r="A98" s="153" t="s">
        <v>109</v>
      </c>
      <c r="B98" s="154"/>
      <c r="C98" s="155"/>
      <c r="D98" s="40" t="s">
        <v>15</v>
      </c>
      <c r="E98" s="40">
        <v>519.35</v>
      </c>
      <c r="F98" s="40">
        <v>519.34</v>
      </c>
      <c r="G98" s="40">
        <f>G99</f>
        <v>519.34</v>
      </c>
      <c r="H98" s="40">
        <f t="shared" ref="H98" si="21">H99</f>
        <v>530.88</v>
      </c>
    </row>
    <row r="99" spans="1:8" x14ac:dyDescent="0.25">
      <c r="A99" s="156">
        <v>3</v>
      </c>
      <c r="B99" s="157"/>
      <c r="C99" s="158"/>
      <c r="D99" s="37" t="s">
        <v>16</v>
      </c>
      <c r="E99" s="38">
        <v>519.35</v>
      </c>
      <c r="F99" s="38">
        <v>519.34</v>
      </c>
      <c r="G99" s="38">
        <f>G100</f>
        <v>519.34</v>
      </c>
      <c r="H99" s="38">
        <f t="shared" ref="H99" si="22">H100</f>
        <v>530.88</v>
      </c>
    </row>
    <row r="100" spans="1:8" x14ac:dyDescent="0.25">
      <c r="A100" s="141">
        <v>32</v>
      </c>
      <c r="B100" s="142"/>
      <c r="C100" s="143"/>
      <c r="D100" s="60" t="s">
        <v>23</v>
      </c>
      <c r="E100" s="59">
        <v>519.35</v>
      </c>
      <c r="F100" s="59">
        <v>519.34</v>
      </c>
      <c r="G100" s="59">
        <f>G101</f>
        <v>519.34</v>
      </c>
      <c r="H100" s="59">
        <f t="shared" ref="H100" si="23">H101</f>
        <v>530.88</v>
      </c>
    </row>
    <row r="101" spans="1:8" x14ac:dyDescent="0.25">
      <c r="A101" s="147" t="s">
        <v>185</v>
      </c>
      <c r="B101" s="148"/>
      <c r="C101" s="149"/>
      <c r="D101" s="78" t="s">
        <v>61</v>
      </c>
      <c r="E101" s="46">
        <v>608.33000000000004</v>
      </c>
      <c r="F101" s="34">
        <v>2654.46</v>
      </c>
      <c r="G101" s="80">
        <f>SUM(G102:G103)</f>
        <v>519.34</v>
      </c>
      <c r="H101" s="80">
        <f t="shared" ref="H101" si="24">SUM(H102:H103)</f>
        <v>530.88</v>
      </c>
    </row>
    <row r="102" spans="1:8" x14ac:dyDescent="0.25">
      <c r="A102" s="144" t="s">
        <v>188</v>
      </c>
      <c r="B102" s="145"/>
      <c r="C102" s="146"/>
      <c r="D102" s="31" t="s">
        <v>50</v>
      </c>
      <c r="E102" s="46">
        <v>519.35</v>
      </c>
      <c r="F102" s="34">
        <v>519.34</v>
      </c>
      <c r="G102" s="34">
        <v>0</v>
      </c>
      <c r="H102" s="34">
        <v>530.88</v>
      </c>
    </row>
    <row r="103" spans="1:8" x14ac:dyDescent="0.25">
      <c r="A103" s="144" t="s">
        <v>153</v>
      </c>
      <c r="B103" s="145"/>
      <c r="C103" s="146"/>
      <c r="D103" s="76" t="s">
        <v>51</v>
      </c>
      <c r="E103" s="46">
        <v>519.35</v>
      </c>
      <c r="F103" s="34">
        <v>519.34</v>
      </c>
      <c r="G103" s="34">
        <v>519.34</v>
      </c>
      <c r="H103" s="34">
        <v>0</v>
      </c>
    </row>
    <row r="104" spans="1:8" ht="14.25" customHeight="1" x14ac:dyDescent="0.25">
      <c r="A104" s="150" t="s">
        <v>112</v>
      </c>
      <c r="B104" s="151"/>
      <c r="C104" s="152"/>
      <c r="D104" s="36" t="s">
        <v>113</v>
      </c>
      <c r="E104" s="39">
        <v>0</v>
      </c>
      <c r="F104" s="39">
        <v>10942.9</v>
      </c>
      <c r="G104" s="39">
        <f>G105+G118</f>
        <v>18133.23</v>
      </c>
      <c r="H104" s="39">
        <f>H105+H118</f>
        <v>31097.77</v>
      </c>
    </row>
    <row r="105" spans="1:8" ht="15" customHeight="1" x14ac:dyDescent="0.25">
      <c r="A105" s="153" t="s">
        <v>109</v>
      </c>
      <c r="B105" s="154"/>
      <c r="C105" s="155"/>
      <c r="D105" s="40" t="s">
        <v>15</v>
      </c>
      <c r="E105" s="40">
        <v>0</v>
      </c>
      <c r="F105" s="40">
        <v>1641.44</v>
      </c>
      <c r="G105" s="40">
        <f>G106</f>
        <v>2719.98</v>
      </c>
      <c r="H105" s="40">
        <f>H106</f>
        <v>4664.67</v>
      </c>
    </row>
    <row r="106" spans="1:8" x14ac:dyDescent="0.25">
      <c r="A106" s="156">
        <v>3</v>
      </c>
      <c r="B106" s="157"/>
      <c r="C106" s="158"/>
      <c r="D106" s="37" t="s">
        <v>16</v>
      </c>
      <c r="E106" s="38">
        <v>0</v>
      </c>
      <c r="F106" s="38">
        <v>1641.44</v>
      </c>
      <c r="G106" s="38">
        <f>G107+G114</f>
        <v>2719.98</v>
      </c>
      <c r="H106" s="38">
        <f>H107+H114</f>
        <v>4664.67</v>
      </c>
    </row>
    <row r="107" spans="1:8" x14ac:dyDescent="0.25">
      <c r="A107" s="141">
        <v>31</v>
      </c>
      <c r="B107" s="142"/>
      <c r="C107" s="143"/>
      <c r="D107" s="60" t="s">
        <v>17</v>
      </c>
      <c r="E107" s="59">
        <v>0</v>
      </c>
      <c r="F107" s="59">
        <v>1624.69</v>
      </c>
      <c r="G107" s="59">
        <f>G108+G110+G112</f>
        <v>2693.01</v>
      </c>
      <c r="H107" s="59">
        <f>H108+H110+H112</f>
        <v>4415.34</v>
      </c>
    </row>
    <row r="108" spans="1:8" x14ac:dyDescent="0.25">
      <c r="A108" s="147" t="s">
        <v>172</v>
      </c>
      <c r="B108" s="148"/>
      <c r="C108" s="149"/>
      <c r="D108" s="78" t="s">
        <v>230</v>
      </c>
      <c r="E108" s="46">
        <v>608.33000000000004</v>
      </c>
      <c r="F108" s="34">
        <v>2654.46</v>
      </c>
      <c r="G108" s="80">
        <f>G109</f>
        <v>2245.0700000000002</v>
      </c>
      <c r="H108" s="80">
        <f>H109</f>
        <v>3519.6</v>
      </c>
    </row>
    <row r="109" spans="1:8" x14ac:dyDescent="0.25">
      <c r="A109" s="144" t="s">
        <v>148</v>
      </c>
      <c r="B109" s="145"/>
      <c r="C109" s="146"/>
      <c r="D109" s="31" t="s">
        <v>69</v>
      </c>
      <c r="E109" s="46"/>
      <c r="F109" s="34">
        <v>1346.57</v>
      </c>
      <c r="G109" s="34">
        <v>2245.0700000000002</v>
      </c>
      <c r="H109" s="34">
        <v>3519.6</v>
      </c>
    </row>
    <row r="110" spans="1:8" x14ac:dyDescent="0.25">
      <c r="A110" s="147" t="s">
        <v>173</v>
      </c>
      <c r="B110" s="148"/>
      <c r="C110" s="149"/>
      <c r="D110" s="78" t="s">
        <v>231</v>
      </c>
      <c r="E110" s="46">
        <v>608.33000000000004</v>
      </c>
      <c r="F110" s="34">
        <v>2654.46</v>
      </c>
      <c r="G110" s="80">
        <f>G111</f>
        <v>77.05</v>
      </c>
      <c r="H110" s="80">
        <f>H111</f>
        <v>315</v>
      </c>
    </row>
    <row r="111" spans="1:8" x14ac:dyDescent="0.25">
      <c r="A111" s="144" t="s">
        <v>149</v>
      </c>
      <c r="B111" s="145"/>
      <c r="C111" s="146"/>
      <c r="D111" s="31" t="s">
        <v>70</v>
      </c>
      <c r="E111" s="46"/>
      <c r="F111" s="34">
        <v>47.84</v>
      </c>
      <c r="G111" s="34">
        <v>77.05</v>
      </c>
      <c r="H111" s="34">
        <v>315</v>
      </c>
    </row>
    <row r="112" spans="1:8" x14ac:dyDescent="0.25">
      <c r="A112" s="147" t="s">
        <v>174</v>
      </c>
      <c r="B112" s="148"/>
      <c r="C112" s="149"/>
      <c r="D112" s="78" t="s">
        <v>71</v>
      </c>
      <c r="E112" s="46">
        <v>608.33000000000004</v>
      </c>
      <c r="F112" s="34">
        <v>2654.46</v>
      </c>
      <c r="G112" s="80">
        <f>G113</f>
        <v>370.89</v>
      </c>
      <c r="H112" s="80">
        <f>H113</f>
        <v>580.74</v>
      </c>
    </row>
    <row r="113" spans="1:8" x14ac:dyDescent="0.25">
      <c r="A113" s="144" t="s">
        <v>150</v>
      </c>
      <c r="B113" s="145"/>
      <c r="C113" s="146"/>
      <c r="D113" s="31" t="s">
        <v>72</v>
      </c>
      <c r="E113" s="46"/>
      <c r="F113" s="34">
        <v>230.28</v>
      </c>
      <c r="G113" s="34">
        <v>370.89</v>
      </c>
      <c r="H113" s="34">
        <v>580.74</v>
      </c>
    </row>
    <row r="114" spans="1:8" x14ac:dyDescent="0.25">
      <c r="A114" s="141">
        <v>32</v>
      </c>
      <c r="B114" s="142"/>
      <c r="C114" s="143"/>
      <c r="D114" s="60" t="s">
        <v>23</v>
      </c>
      <c r="E114" s="59">
        <v>0</v>
      </c>
      <c r="F114" s="59">
        <v>16.75</v>
      </c>
      <c r="G114" s="59">
        <f>G115</f>
        <v>26.97</v>
      </c>
      <c r="H114" s="59">
        <f>H115</f>
        <v>249.33</v>
      </c>
    </row>
    <row r="115" spans="1:8" x14ac:dyDescent="0.25">
      <c r="A115" s="147" t="s">
        <v>175</v>
      </c>
      <c r="B115" s="148"/>
      <c r="C115" s="149"/>
      <c r="D115" s="78" t="s">
        <v>73</v>
      </c>
      <c r="E115" s="46">
        <v>608.33000000000004</v>
      </c>
      <c r="F115" s="34">
        <v>2654.46</v>
      </c>
      <c r="G115" s="80">
        <f>SUM(G116:G117)</f>
        <v>26.97</v>
      </c>
      <c r="H115" s="80">
        <f>SUM(H116:H117)</f>
        <v>249.33</v>
      </c>
    </row>
    <row r="116" spans="1:8" x14ac:dyDescent="0.25">
      <c r="A116" s="144" t="s">
        <v>151</v>
      </c>
      <c r="B116" s="145"/>
      <c r="C116" s="146"/>
      <c r="D116" s="31" t="s">
        <v>39</v>
      </c>
      <c r="E116" s="46"/>
      <c r="F116" s="34">
        <v>7.79</v>
      </c>
      <c r="G116" s="34">
        <v>12.55</v>
      </c>
      <c r="H116" s="34">
        <v>15.92</v>
      </c>
    </row>
    <row r="117" spans="1:8" x14ac:dyDescent="0.25">
      <c r="A117" s="144" t="s">
        <v>152</v>
      </c>
      <c r="B117" s="145"/>
      <c r="C117" s="146"/>
      <c r="D117" s="31" t="s">
        <v>74</v>
      </c>
      <c r="E117" s="46"/>
      <c r="F117" s="34">
        <v>8.9600000000000009</v>
      </c>
      <c r="G117" s="34">
        <v>14.42</v>
      </c>
      <c r="H117" s="34">
        <v>233.41</v>
      </c>
    </row>
    <row r="118" spans="1:8" ht="15" customHeight="1" x14ac:dyDescent="0.25">
      <c r="A118" s="153" t="s">
        <v>222</v>
      </c>
      <c r="B118" s="154"/>
      <c r="C118" s="155"/>
      <c r="D118" s="40" t="s">
        <v>114</v>
      </c>
      <c r="E118" s="40">
        <v>0</v>
      </c>
      <c r="F118" s="40">
        <v>9301.4599999999991</v>
      </c>
      <c r="G118" s="40">
        <f>G119</f>
        <v>15413.25</v>
      </c>
      <c r="H118" s="40">
        <f>H119</f>
        <v>26433.1</v>
      </c>
    </row>
    <row r="119" spans="1:8" x14ac:dyDescent="0.25">
      <c r="A119" s="156">
        <v>3</v>
      </c>
      <c r="B119" s="157"/>
      <c r="C119" s="158"/>
      <c r="D119" s="37" t="s">
        <v>16</v>
      </c>
      <c r="E119" s="38">
        <v>0</v>
      </c>
      <c r="F119" s="38">
        <v>9301.4599999999991</v>
      </c>
      <c r="G119" s="38">
        <f>G120+G127</f>
        <v>15413.25</v>
      </c>
      <c r="H119" s="38">
        <f>H120+H127</f>
        <v>26433.1</v>
      </c>
    </row>
    <row r="120" spans="1:8" x14ac:dyDescent="0.25">
      <c r="A120" s="141">
        <v>31</v>
      </c>
      <c r="B120" s="142"/>
      <c r="C120" s="143"/>
      <c r="D120" s="60" t="s">
        <v>17</v>
      </c>
      <c r="E120" s="59">
        <v>0</v>
      </c>
      <c r="F120" s="59">
        <v>9206.57</v>
      </c>
      <c r="G120" s="59">
        <f>G121+G123+G125</f>
        <v>15260.4</v>
      </c>
      <c r="H120" s="59">
        <f>H121+H123+H125</f>
        <v>25020.17</v>
      </c>
    </row>
    <row r="121" spans="1:8" x14ac:dyDescent="0.25">
      <c r="A121" s="147" t="s">
        <v>172</v>
      </c>
      <c r="B121" s="148"/>
      <c r="C121" s="149"/>
      <c r="D121" s="78" t="s">
        <v>230</v>
      </c>
      <c r="E121" s="46">
        <v>608.33000000000004</v>
      </c>
      <c r="F121" s="34">
        <v>2654.46</v>
      </c>
      <c r="G121" s="80">
        <f>G122</f>
        <v>12722.08</v>
      </c>
      <c r="H121" s="80">
        <f>H122</f>
        <v>19944.3</v>
      </c>
    </row>
    <row r="122" spans="1:8" x14ac:dyDescent="0.25">
      <c r="A122" s="144" t="s">
        <v>148</v>
      </c>
      <c r="B122" s="145"/>
      <c r="C122" s="146"/>
      <c r="D122" s="31" t="s">
        <v>69</v>
      </c>
      <c r="E122" s="46"/>
      <c r="F122" s="34">
        <v>7630.57</v>
      </c>
      <c r="G122" s="34">
        <v>12722.08</v>
      </c>
      <c r="H122" s="34">
        <v>19944.3</v>
      </c>
    </row>
    <row r="123" spans="1:8" x14ac:dyDescent="0.25">
      <c r="A123" s="147" t="s">
        <v>173</v>
      </c>
      <c r="B123" s="148"/>
      <c r="C123" s="149"/>
      <c r="D123" s="78" t="s">
        <v>231</v>
      </c>
      <c r="E123" s="46">
        <v>608.33000000000004</v>
      </c>
      <c r="F123" s="34">
        <v>2654.46</v>
      </c>
      <c r="G123" s="80">
        <f>G124</f>
        <v>436.59</v>
      </c>
      <c r="H123" s="80">
        <f>H124</f>
        <v>1785</v>
      </c>
    </row>
    <row r="124" spans="1:8" x14ac:dyDescent="0.25">
      <c r="A124" s="144" t="s">
        <v>149</v>
      </c>
      <c r="B124" s="145"/>
      <c r="C124" s="146"/>
      <c r="D124" s="31" t="s">
        <v>70</v>
      </c>
      <c r="E124" s="46"/>
      <c r="F124" s="34">
        <v>271.07</v>
      </c>
      <c r="G124" s="34">
        <v>436.59</v>
      </c>
      <c r="H124" s="34">
        <v>1785</v>
      </c>
    </row>
    <row r="125" spans="1:8" x14ac:dyDescent="0.25">
      <c r="A125" s="147" t="s">
        <v>174</v>
      </c>
      <c r="B125" s="148"/>
      <c r="C125" s="149"/>
      <c r="D125" s="78" t="s">
        <v>71</v>
      </c>
      <c r="E125" s="46">
        <v>608.33000000000004</v>
      </c>
      <c r="F125" s="34">
        <v>2654.46</v>
      </c>
      <c r="G125" s="80">
        <f>G126</f>
        <v>2101.73</v>
      </c>
      <c r="H125" s="80">
        <f>H126</f>
        <v>3290.87</v>
      </c>
    </row>
    <row r="126" spans="1:8" x14ac:dyDescent="0.25">
      <c r="A126" s="144" t="s">
        <v>150</v>
      </c>
      <c r="B126" s="145"/>
      <c r="C126" s="146"/>
      <c r="D126" s="31" t="s">
        <v>72</v>
      </c>
      <c r="E126" s="46"/>
      <c r="F126" s="34">
        <v>1304.92</v>
      </c>
      <c r="G126" s="34">
        <v>2101.73</v>
      </c>
      <c r="H126" s="34">
        <v>3290.87</v>
      </c>
    </row>
    <row r="127" spans="1:8" x14ac:dyDescent="0.25">
      <c r="A127" s="141">
        <v>32</v>
      </c>
      <c r="B127" s="142"/>
      <c r="C127" s="143"/>
      <c r="D127" s="60" t="s">
        <v>23</v>
      </c>
      <c r="E127" s="59">
        <v>0</v>
      </c>
      <c r="F127" s="59">
        <v>94.9</v>
      </c>
      <c r="G127" s="59">
        <f>G128</f>
        <v>152.85</v>
      </c>
      <c r="H127" s="59">
        <f>H128</f>
        <v>1412.93</v>
      </c>
    </row>
    <row r="128" spans="1:8" x14ac:dyDescent="0.25">
      <c r="A128" s="147" t="s">
        <v>175</v>
      </c>
      <c r="B128" s="148"/>
      <c r="C128" s="149"/>
      <c r="D128" s="78" t="s">
        <v>73</v>
      </c>
      <c r="E128" s="46">
        <v>608.33000000000004</v>
      </c>
      <c r="F128" s="34">
        <v>2654.46</v>
      </c>
      <c r="G128" s="80">
        <f>SUM(G129:G130)</f>
        <v>152.85</v>
      </c>
      <c r="H128" s="80">
        <f>SUM(H129:H130)</f>
        <v>1412.93</v>
      </c>
    </row>
    <row r="129" spans="1:8" x14ac:dyDescent="0.25">
      <c r="A129" s="144" t="s">
        <v>151</v>
      </c>
      <c r="B129" s="145"/>
      <c r="C129" s="146"/>
      <c r="D129" s="31" t="s">
        <v>39</v>
      </c>
      <c r="E129" s="46"/>
      <c r="F129" s="34">
        <v>44.13</v>
      </c>
      <c r="G129" s="34">
        <v>71.08</v>
      </c>
      <c r="H129" s="34">
        <v>90.28</v>
      </c>
    </row>
    <row r="130" spans="1:8" x14ac:dyDescent="0.25">
      <c r="A130" s="144" t="s">
        <v>152</v>
      </c>
      <c r="B130" s="145"/>
      <c r="C130" s="146"/>
      <c r="D130" s="31" t="s">
        <v>74</v>
      </c>
      <c r="E130" s="46"/>
      <c r="F130" s="34">
        <v>50.77</v>
      </c>
      <c r="G130" s="34">
        <v>81.77</v>
      </c>
      <c r="H130" s="34">
        <v>1322.65</v>
      </c>
    </row>
    <row r="131" spans="1:8" ht="14.25" customHeight="1" x14ac:dyDescent="0.25">
      <c r="A131" s="150" t="s">
        <v>217</v>
      </c>
      <c r="B131" s="151"/>
      <c r="C131" s="152"/>
      <c r="D131" s="36" t="s">
        <v>216</v>
      </c>
      <c r="E131" s="39">
        <v>0</v>
      </c>
      <c r="F131" s="39">
        <v>0</v>
      </c>
      <c r="G131" s="39">
        <f>G132+G145</f>
        <v>12088.82</v>
      </c>
      <c r="H131" s="39">
        <f>H132+H145</f>
        <v>25515.03</v>
      </c>
    </row>
    <row r="132" spans="1:8" ht="15" customHeight="1" x14ac:dyDescent="0.25">
      <c r="A132" s="153" t="s">
        <v>109</v>
      </c>
      <c r="B132" s="154"/>
      <c r="C132" s="155"/>
      <c r="D132" s="40" t="s">
        <v>15</v>
      </c>
      <c r="E132" s="40">
        <v>0</v>
      </c>
      <c r="F132" s="40">
        <v>0</v>
      </c>
      <c r="G132" s="40">
        <f>G133</f>
        <v>1813.32</v>
      </c>
      <c r="H132" s="40">
        <f>H133</f>
        <v>3827.27</v>
      </c>
    </row>
    <row r="133" spans="1:8" x14ac:dyDescent="0.25">
      <c r="A133" s="156">
        <v>3</v>
      </c>
      <c r="B133" s="157"/>
      <c r="C133" s="158"/>
      <c r="D133" s="68" t="s">
        <v>16</v>
      </c>
      <c r="E133" s="38">
        <v>0</v>
      </c>
      <c r="F133" s="38">
        <v>0</v>
      </c>
      <c r="G133" s="38">
        <f>G134+G141</f>
        <v>1813.32</v>
      </c>
      <c r="H133" s="38">
        <f>H134+H141</f>
        <v>3827.27</v>
      </c>
    </row>
    <row r="134" spans="1:8" x14ac:dyDescent="0.25">
      <c r="A134" s="141">
        <v>31</v>
      </c>
      <c r="B134" s="142"/>
      <c r="C134" s="143"/>
      <c r="D134" s="60" t="s">
        <v>17</v>
      </c>
      <c r="E134" s="59">
        <v>0</v>
      </c>
      <c r="F134" s="59">
        <v>0</v>
      </c>
      <c r="G134" s="59">
        <f>G135+G137+G139</f>
        <v>1795.34</v>
      </c>
      <c r="H134" s="59">
        <f>H135+H137+H139</f>
        <v>3567.94</v>
      </c>
    </row>
    <row r="135" spans="1:8" x14ac:dyDescent="0.25">
      <c r="A135" s="147" t="s">
        <v>172</v>
      </c>
      <c r="B135" s="148"/>
      <c r="C135" s="149"/>
      <c r="D135" s="78" t="s">
        <v>230</v>
      </c>
      <c r="E135" s="46">
        <v>608.33000000000004</v>
      </c>
      <c r="F135" s="34">
        <v>2654.46</v>
      </c>
      <c r="G135" s="80">
        <f>G136</f>
        <v>1496.72</v>
      </c>
      <c r="H135" s="80">
        <f>H136</f>
        <v>2882.35</v>
      </c>
    </row>
    <row r="136" spans="1:8" x14ac:dyDescent="0.25">
      <c r="A136" s="144" t="s">
        <v>148</v>
      </c>
      <c r="B136" s="145"/>
      <c r="C136" s="146"/>
      <c r="D136" s="31" t="s">
        <v>69</v>
      </c>
      <c r="E136" s="46"/>
      <c r="F136" s="34"/>
      <c r="G136" s="72">
        <v>1496.72</v>
      </c>
      <c r="H136" s="34">
        <f>2095.68+786.67</f>
        <v>2882.35</v>
      </c>
    </row>
    <row r="137" spans="1:8" x14ac:dyDescent="0.25">
      <c r="A137" s="147" t="s">
        <v>173</v>
      </c>
      <c r="B137" s="148"/>
      <c r="C137" s="149"/>
      <c r="D137" s="78" t="s">
        <v>231</v>
      </c>
      <c r="E137" s="46">
        <v>608.33000000000004</v>
      </c>
      <c r="F137" s="34">
        <v>2654.46</v>
      </c>
      <c r="G137" s="80">
        <f>G138</f>
        <v>51.36</v>
      </c>
      <c r="H137" s="80">
        <f>H138</f>
        <v>210</v>
      </c>
    </row>
    <row r="138" spans="1:8" x14ac:dyDescent="0.25">
      <c r="A138" s="144" t="s">
        <v>149</v>
      </c>
      <c r="B138" s="145"/>
      <c r="C138" s="146"/>
      <c r="D138" s="31" t="s">
        <v>70</v>
      </c>
      <c r="E138" s="46"/>
      <c r="F138" s="34"/>
      <c r="G138" s="72">
        <v>51.36</v>
      </c>
      <c r="H138" s="34">
        <f>105+105</f>
        <v>210</v>
      </c>
    </row>
    <row r="139" spans="1:8" x14ac:dyDescent="0.25">
      <c r="A139" s="147" t="s">
        <v>174</v>
      </c>
      <c r="B139" s="148"/>
      <c r="C139" s="149"/>
      <c r="D139" s="78" t="s">
        <v>71</v>
      </c>
      <c r="E139" s="46">
        <v>608.33000000000004</v>
      </c>
      <c r="F139" s="34">
        <v>2654.46</v>
      </c>
      <c r="G139" s="80">
        <f>G140</f>
        <v>247.26</v>
      </c>
      <c r="H139" s="80">
        <f>H140</f>
        <v>475.59</v>
      </c>
    </row>
    <row r="140" spans="1:8" x14ac:dyDescent="0.25">
      <c r="A140" s="144" t="s">
        <v>150</v>
      </c>
      <c r="B140" s="145"/>
      <c r="C140" s="146"/>
      <c r="D140" s="31" t="s">
        <v>72</v>
      </c>
      <c r="E140" s="46"/>
      <c r="F140" s="34"/>
      <c r="G140" s="72">
        <v>247.26</v>
      </c>
      <c r="H140" s="34">
        <f>345.79+129.8</f>
        <v>475.59</v>
      </c>
    </row>
    <row r="141" spans="1:8" x14ac:dyDescent="0.25">
      <c r="A141" s="141">
        <v>32</v>
      </c>
      <c r="B141" s="142"/>
      <c r="C141" s="143"/>
      <c r="D141" s="60" t="s">
        <v>23</v>
      </c>
      <c r="E141" s="59">
        <v>0</v>
      </c>
      <c r="F141" s="59">
        <v>0</v>
      </c>
      <c r="G141" s="59">
        <f>G142</f>
        <v>17.98</v>
      </c>
      <c r="H141" s="59">
        <f>H142</f>
        <v>259.33</v>
      </c>
    </row>
    <row r="142" spans="1:8" x14ac:dyDescent="0.25">
      <c r="A142" s="147" t="s">
        <v>175</v>
      </c>
      <c r="B142" s="148"/>
      <c r="C142" s="149"/>
      <c r="D142" s="78" t="s">
        <v>73</v>
      </c>
      <c r="E142" s="46">
        <v>608.33000000000004</v>
      </c>
      <c r="F142" s="34">
        <v>2654.46</v>
      </c>
      <c r="G142" s="80">
        <f>SUM(G143:G144)</f>
        <v>17.98</v>
      </c>
      <c r="H142" s="80">
        <f>SUM(H143:H144)</f>
        <v>259.33</v>
      </c>
    </row>
    <row r="143" spans="1:8" x14ac:dyDescent="0.25">
      <c r="A143" s="144" t="s">
        <v>151</v>
      </c>
      <c r="B143" s="145"/>
      <c r="C143" s="146"/>
      <c r="D143" s="31" t="s">
        <v>39</v>
      </c>
      <c r="E143" s="46"/>
      <c r="F143" s="34"/>
      <c r="G143" s="72">
        <v>8.36</v>
      </c>
      <c r="H143" s="34">
        <v>0</v>
      </c>
    </row>
    <row r="144" spans="1:8" x14ac:dyDescent="0.25">
      <c r="A144" s="144" t="s">
        <v>152</v>
      </c>
      <c r="B144" s="145"/>
      <c r="C144" s="146"/>
      <c r="D144" s="31" t="s">
        <v>74</v>
      </c>
      <c r="E144" s="46"/>
      <c r="F144" s="34"/>
      <c r="G144" s="72">
        <v>9.6199999999999992</v>
      </c>
      <c r="H144" s="34">
        <f>180.67+78.66</f>
        <v>259.33</v>
      </c>
    </row>
    <row r="145" spans="1:16" ht="15" customHeight="1" x14ac:dyDescent="0.25">
      <c r="A145" s="153" t="s">
        <v>222</v>
      </c>
      <c r="B145" s="154"/>
      <c r="C145" s="155"/>
      <c r="D145" s="40" t="s">
        <v>114</v>
      </c>
      <c r="E145" s="40">
        <v>0</v>
      </c>
      <c r="F145" s="40">
        <v>0</v>
      </c>
      <c r="G145" s="40">
        <f>G146</f>
        <v>10275.5</v>
      </c>
      <c r="H145" s="40">
        <f>H146</f>
        <v>21687.759999999998</v>
      </c>
    </row>
    <row r="146" spans="1:16" x14ac:dyDescent="0.25">
      <c r="A146" s="156">
        <v>3</v>
      </c>
      <c r="B146" s="157"/>
      <c r="C146" s="158"/>
      <c r="D146" s="68" t="s">
        <v>16</v>
      </c>
      <c r="E146" s="38">
        <v>0</v>
      </c>
      <c r="F146" s="38">
        <v>0</v>
      </c>
      <c r="G146" s="38">
        <f>G147+G154</f>
        <v>10275.5</v>
      </c>
      <c r="H146" s="38">
        <f>H147+H154</f>
        <v>21687.759999999998</v>
      </c>
    </row>
    <row r="147" spans="1:16" x14ac:dyDescent="0.25">
      <c r="A147" s="141">
        <v>31</v>
      </c>
      <c r="B147" s="142"/>
      <c r="C147" s="143"/>
      <c r="D147" s="60" t="s">
        <v>17</v>
      </c>
      <c r="E147" s="59">
        <v>0</v>
      </c>
      <c r="F147" s="59">
        <v>0</v>
      </c>
      <c r="G147" s="59">
        <f>G148+G150+G152</f>
        <v>10173.6</v>
      </c>
      <c r="H147" s="59">
        <f>H148+H150+H152</f>
        <v>20218.3</v>
      </c>
    </row>
    <row r="148" spans="1:16" x14ac:dyDescent="0.25">
      <c r="A148" s="147" t="s">
        <v>172</v>
      </c>
      <c r="B148" s="148"/>
      <c r="C148" s="149"/>
      <c r="D148" s="78" t="s">
        <v>230</v>
      </c>
      <c r="E148" s="46">
        <v>608.33000000000004</v>
      </c>
      <c r="F148" s="34">
        <v>2654.46</v>
      </c>
      <c r="G148" s="80">
        <f>G149</f>
        <v>8481.39</v>
      </c>
      <c r="H148" s="80">
        <f>H149</f>
        <v>16333.3</v>
      </c>
    </row>
    <row r="149" spans="1:16" x14ac:dyDescent="0.25">
      <c r="A149" s="144" t="s">
        <v>148</v>
      </c>
      <c r="B149" s="145"/>
      <c r="C149" s="146"/>
      <c r="D149" s="31" t="s">
        <v>69</v>
      </c>
      <c r="E149" s="46"/>
      <c r="F149" s="34"/>
      <c r="G149" s="72">
        <v>8481.39</v>
      </c>
      <c r="H149" s="34">
        <f>11875.53+4457.77</f>
        <v>16333.3</v>
      </c>
    </row>
    <row r="150" spans="1:16" x14ac:dyDescent="0.25">
      <c r="A150" s="147" t="s">
        <v>173</v>
      </c>
      <c r="B150" s="148"/>
      <c r="C150" s="149"/>
      <c r="D150" s="78" t="s">
        <v>231</v>
      </c>
      <c r="E150" s="46">
        <v>608.33000000000004</v>
      </c>
      <c r="F150" s="34">
        <v>2654.46</v>
      </c>
      <c r="G150" s="80">
        <f>G151</f>
        <v>291.06</v>
      </c>
      <c r="H150" s="80">
        <f>H151</f>
        <v>1190</v>
      </c>
    </row>
    <row r="151" spans="1:16" x14ac:dyDescent="0.25">
      <c r="A151" s="144" t="s">
        <v>149</v>
      </c>
      <c r="B151" s="145"/>
      <c r="C151" s="146"/>
      <c r="D151" s="31" t="s">
        <v>70</v>
      </c>
      <c r="E151" s="46"/>
      <c r="F151" s="34"/>
      <c r="G151" s="72">
        <v>291.06</v>
      </c>
      <c r="H151" s="34">
        <f>595+595</f>
        <v>1190</v>
      </c>
    </row>
    <row r="152" spans="1:16" x14ac:dyDescent="0.25">
      <c r="A152" s="147" t="s">
        <v>174</v>
      </c>
      <c r="B152" s="148"/>
      <c r="C152" s="149"/>
      <c r="D152" s="78" t="s">
        <v>71</v>
      </c>
      <c r="E152" s="46">
        <v>608.33000000000004</v>
      </c>
      <c r="F152" s="34">
        <v>2654.46</v>
      </c>
      <c r="G152" s="80">
        <f>G153</f>
        <v>1401.15</v>
      </c>
      <c r="H152" s="80">
        <f>H153</f>
        <v>2695</v>
      </c>
    </row>
    <row r="153" spans="1:16" x14ac:dyDescent="0.25">
      <c r="A153" s="144" t="s">
        <v>150</v>
      </c>
      <c r="B153" s="145"/>
      <c r="C153" s="146"/>
      <c r="D153" s="31" t="s">
        <v>72</v>
      </c>
      <c r="E153" s="46"/>
      <c r="F153" s="34"/>
      <c r="G153" s="72">
        <v>1401.15</v>
      </c>
      <c r="H153" s="34">
        <f>1959.47+735.53</f>
        <v>2695</v>
      </c>
    </row>
    <row r="154" spans="1:16" x14ac:dyDescent="0.25">
      <c r="A154" s="141">
        <v>32</v>
      </c>
      <c r="B154" s="142"/>
      <c r="C154" s="143"/>
      <c r="D154" s="60" t="s">
        <v>23</v>
      </c>
      <c r="E154" s="59">
        <v>0</v>
      </c>
      <c r="F154" s="59">
        <v>0</v>
      </c>
      <c r="G154" s="89">
        <f>G155</f>
        <v>101.9</v>
      </c>
      <c r="H154" s="52">
        <f>H155</f>
        <v>1469.46</v>
      </c>
    </row>
    <row r="155" spans="1:16" x14ac:dyDescent="0.25">
      <c r="A155" s="147" t="s">
        <v>175</v>
      </c>
      <c r="B155" s="148"/>
      <c r="C155" s="149"/>
      <c r="D155" s="78" t="s">
        <v>73</v>
      </c>
      <c r="E155" s="46">
        <v>608.33000000000004</v>
      </c>
      <c r="F155" s="34">
        <v>2654.46</v>
      </c>
      <c r="G155" s="90">
        <f>G156+G157</f>
        <v>101.9</v>
      </c>
      <c r="H155" s="80">
        <f>H156+H157</f>
        <v>1469.46</v>
      </c>
    </row>
    <row r="156" spans="1:16" x14ac:dyDescent="0.25">
      <c r="A156" s="144" t="s">
        <v>151</v>
      </c>
      <c r="B156" s="145"/>
      <c r="C156" s="146"/>
      <c r="D156" s="31" t="s">
        <v>39</v>
      </c>
      <c r="E156" s="46"/>
      <c r="F156" s="34"/>
      <c r="G156" s="91">
        <v>47.38</v>
      </c>
      <c r="H156" s="34">
        <v>0</v>
      </c>
    </row>
    <row r="157" spans="1:16" x14ac:dyDescent="0.25">
      <c r="A157" s="144" t="s">
        <v>152</v>
      </c>
      <c r="B157" s="145"/>
      <c r="C157" s="146"/>
      <c r="D157" s="31" t="s">
        <v>74</v>
      </c>
      <c r="E157" s="46"/>
      <c r="F157" s="34"/>
      <c r="G157" s="91">
        <v>54.52</v>
      </c>
      <c r="H157" s="34">
        <f>1023.75+445.71</f>
        <v>1469.46</v>
      </c>
    </row>
    <row r="158" spans="1:16" x14ac:dyDescent="0.25">
      <c r="A158" s="162" t="s">
        <v>207</v>
      </c>
      <c r="B158" s="163"/>
      <c r="C158" s="164"/>
      <c r="D158" s="29" t="s">
        <v>75</v>
      </c>
      <c r="E158" s="30">
        <v>25051.43</v>
      </c>
      <c r="F158" s="30">
        <v>0</v>
      </c>
      <c r="G158" s="30">
        <v>0</v>
      </c>
      <c r="H158" s="30">
        <v>0</v>
      </c>
      <c r="K158" s="58"/>
      <c r="L158" s="58"/>
      <c r="M158" s="58"/>
      <c r="N158" s="58"/>
      <c r="O158" s="58"/>
      <c r="P158" s="58"/>
    </row>
    <row r="159" spans="1:16" ht="15" customHeight="1" x14ac:dyDescent="0.25">
      <c r="A159" s="150" t="s">
        <v>208</v>
      </c>
      <c r="B159" s="151"/>
      <c r="C159" s="152"/>
      <c r="D159" s="36" t="s">
        <v>76</v>
      </c>
      <c r="E159" s="39">
        <v>23226.49</v>
      </c>
      <c r="F159" s="39">
        <v>0</v>
      </c>
      <c r="G159" s="39">
        <v>0</v>
      </c>
      <c r="H159" s="39">
        <v>0</v>
      </c>
    </row>
    <row r="160" spans="1:16" ht="15" customHeight="1" x14ac:dyDescent="0.25">
      <c r="A160" s="153" t="s">
        <v>103</v>
      </c>
      <c r="B160" s="154"/>
      <c r="C160" s="155"/>
      <c r="D160" s="40" t="s">
        <v>104</v>
      </c>
      <c r="E160" s="40">
        <v>23226.49</v>
      </c>
      <c r="F160" s="40">
        <v>0</v>
      </c>
      <c r="G160" s="40">
        <v>0</v>
      </c>
      <c r="H160" s="40">
        <v>0</v>
      </c>
    </row>
    <row r="161" spans="1:16" ht="25.5" x14ac:dyDescent="0.25">
      <c r="A161" s="156">
        <v>4</v>
      </c>
      <c r="B161" s="157"/>
      <c r="C161" s="158"/>
      <c r="D161" s="57" t="s">
        <v>18</v>
      </c>
      <c r="E161" s="38">
        <v>23226.49</v>
      </c>
      <c r="F161" s="38">
        <v>0</v>
      </c>
      <c r="G161" s="38">
        <v>0</v>
      </c>
      <c r="H161" s="38">
        <v>0</v>
      </c>
    </row>
    <row r="162" spans="1:16" ht="25.5" x14ac:dyDescent="0.25">
      <c r="A162" s="141">
        <v>42</v>
      </c>
      <c r="B162" s="142"/>
      <c r="C162" s="143"/>
      <c r="D162" s="60" t="s">
        <v>196</v>
      </c>
      <c r="E162" s="59">
        <v>23226.49</v>
      </c>
      <c r="F162" s="59">
        <v>0</v>
      </c>
      <c r="G162" s="59">
        <v>0</v>
      </c>
      <c r="H162" s="59">
        <v>0</v>
      </c>
    </row>
    <row r="163" spans="1:16" x14ac:dyDescent="0.25">
      <c r="A163" s="144" t="s">
        <v>157</v>
      </c>
      <c r="B163" s="145"/>
      <c r="C163" s="146"/>
      <c r="D163" s="28" t="s">
        <v>89</v>
      </c>
      <c r="E163" s="46">
        <v>23226.49</v>
      </c>
      <c r="F163" s="34"/>
      <c r="G163" s="34"/>
      <c r="H163" s="34"/>
    </row>
    <row r="164" spans="1:16" ht="15" customHeight="1" x14ac:dyDescent="0.25">
      <c r="A164" s="150" t="s">
        <v>209</v>
      </c>
      <c r="B164" s="151"/>
      <c r="C164" s="152"/>
      <c r="D164" s="36" t="s">
        <v>213</v>
      </c>
      <c r="E164" s="39">
        <v>1824.94</v>
      </c>
      <c r="F164" s="39">
        <v>0</v>
      </c>
      <c r="G164" s="39">
        <v>0</v>
      </c>
      <c r="H164" s="39">
        <v>0</v>
      </c>
    </row>
    <row r="165" spans="1:16" ht="15" customHeight="1" x14ac:dyDescent="0.25">
      <c r="A165" s="153" t="s">
        <v>103</v>
      </c>
      <c r="B165" s="154"/>
      <c r="C165" s="155"/>
      <c r="D165" s="40" t="s">
        <v>104</v>
      </c>
      <c r="E165" s="40">
        <v>1824.94</v>
      </c>
      <c r="F165" s="40">
        <v>0</v>
      </c>
      <c r="G165" s="40">
        <v>0</v>
      </c>
      <c r="H165" s="40">
        <v>0</v>
      </c>
    </row>
    <row r="166" spans="1:16" ht="25.5" x14ac:dyDescent="0.25">
      <c r="A166" s="156">
        <v>4</v>
      </c>
      <c r="B166" s="157"/>
      <c r="C166" s="158"/>
      <c r="D166" s="57" t="s">
        <v>18</v>
      </c>
      <c r="E166" s="38">
        <v>1824.94</v>
      </c>
      <c r="F166" s="38">
        <v>0</v>
      </c>
      <c r="G166" s="38">
        <v>0</v>
      </c>
      <c r="H166" s="38">
        <v>0</v>
      </c>
    </row>
    <row r="167" spans="1:16" ht="25.5" x14ac:dyDescent="0.25">
      <c r="A167" s="141">
        <v>42</v>
      </c>
      <c r="B167" s="142"/>
      <c r="C167" s="143"/>
      <c r="D167" s="60" t="s">
        <v>196</v>
      </c>
      <c r="E167" s="59">
        <v>1824.94</v>
      </c>
      <c r="F167" s="59">
        <v>0</v>
      </c>
      <c r="G167" s="59">
        <v>0</v>
      </c>
      <c r="H167" s="59">
        <v>0</v>
      </c>
    </row>
    <row r="168" spans="1:16" ht="25.5" x14ac:dyDescent="0.25">
      <c r="A168" s="144" t="s">
        <v>198</v>
      </c>
      <c r="B168" s="145"/>
      <c r="C168" s="146"/>
      <c r="D168" s="28" t="s">
        <v>197</v>
      </c>
      <c r="E168" s="46">
        <v>1824.94</v>
      </c>
      <c r="F168" s="34"/>
      <c r="G168" s="34"/>
      <c r="H168" s="34"/>
    </row>
    <row r="169" spans="1:16" ht="24" x14ac:dyDescent="0.25">
      <c r="A169" s="162" t="s">
        <v>210</v>
      </c>
      <c r="B169" s="163"/>
      <c r="C169" s="164"/>
      <c r="D169" s="29" t="s">
        <v>78</v>
      </c>
      <c r="E169" s="30">
        <v>105281.47</v>
      </c>
      <c r="F169" s="30">
        <v>44966.74</v>
      </c>
      <c r="G169" s="30">
        <f t="shared" ref="G169:H173" si="25">G170</f>
        <v>0</v>
      </c>
      <c r="H169" s="30">
        <f t="shared" si="25"/>
        <v>25776.61</v>
      </c>
      <c r="K169" s="58"/>
      <c r="L169" s="58"/>
      <c r="M169" s="58"/>
      <c r="N169" s="58"/>
      <c r="O169" s="58"/>
      <c r="P169" s="58"/>
    </row>
    <row r="170" spans="1:16" ht="28.5" customHeight="1" x14ac:dyDescent="0.25">
      <c r="A170" s="150" t="s">
        <v>211</v>
      </c>
      <c r="B170" s="151"/>
      <c r="C170" s="152"/>
      <c r="D170" s="36" t="s">
        <v>212</v>
      </c>
      <c r="E170" s="39">
        <v>105281.47</v>
      </c>
      <c r="F170" s="39">
        <v>44966.74</v>
      </c>
      <c r="G170" s="39">
        <f t="shared" si="25"/>
        <v>0</v>
      </c>
      <c r="H170" s="39">
        <f t="shared" si="25"/>
        <v>25776.61</v>
      </c>
    </row>
    <row r="171" spans="1:16" ht="15" customHeight="1" x14ac:dyDescent="0.25">
      <c r="A171" s="153" t="s">
        <v>109</v>
      </c>
      <c r="B171" s="154"/>
      <c r="C171" s="155"/>
      <c r="D171" s="40" t="s">
        <v>15</v>
      </c>
      <c r="E171" s="40">
        <v>105281.47</v>
      </c>
      <c r="F171" s="40">
        <v>0</v>
      </c>
      <c r="G171" s="40">
        <f t="shared" si="25"/>
        <v>0</v>
      </c>
      <c r="H171" s="40">
        <f t="shared" si="25"/>
        <v>25776.61</v>
      </c>
    </row>
    <row r="172" spans="1:16" x14ac:dyDescent="0.25">
      <c r="A172" s="156">
        <v>3</v>
      </c>
      <c r="B172" s="157"/>
      <c r="C172" s="158"/>
      <c r="D172" s="57" t="s">
        <v>16</v>
      </c>
      <c r="E172" s="38">
        <v>105281.47</v>
      </c>
      <c r="F172" s="38">
        <v>0</v>
      </c>
      <c r="G172" s="38">
        <f t="shared" si="25"/>
        <v>0</v>
      </c>
      <c r="H172" s="38">
        <f t="shared" si="25"/>
        <v>25776.61</v>
      </c>
    </row>
    <row r="173" spans="1:16" ht="25.5" x14ac:dyDescent="0.25">
      <c r="A173" s="141">
        <v>32</v>
      </c>
      <c r="B173" s="142"/>
      <c r="C173" s="143"/>
      <c r="D173" s="60" t="s">
        <v>196</v>
      </c>
      <c r="E173" s="59">
        <v>105281.47</v>
      </c>
      <c r="F173" s="59">
        <v>0</v>
      </c>
      <c r="G173" s="59">
        <f t="shared" si="25"/>
        <v>0</v>
      </c>
      <c r="H173" s="59">
        <f t="shared" si="25"/>
        <v>25776.61</v>
      </c>
    </row>
    <row r="174" spans="1:16" x14ac:dyDescent="0.25">
      <c r="A174" s="147" t="s">
        <v>185</v>
      </c>
      <c r="B174" s="148"/>
      <c r="C174" s="149"/>
      <c r="D174" s="78" t="s">
        <v>61</v>
      </c>
      <c r="E174" s="46">
        <v>608.33000000000004</v>
      </c>
      <c r="F174" s="34">
        <v>2654.46</v>
      </c>
      <c r="G174" s="80">
        <f>G175</f>
        <v>0</v>
      </c>
      <c r="H174" s="80">
        <f t="shared" ref="H174" si="26">H175</f>
        <v>25776.61</v>
      </c>
    </row>
    <row r="175" spans="1:16" ht="25.5" x14ac:dyDescent="0.25">
      <c r="A175" s="144" t="s">
        <v>155</v>
      </c>
      <c r="B175" s="145"/>
      <c r="C175" s="146"/>
      <c r="D175" s="28" t="s">
        <v>195</v>
      </c>
      <c r="E175" s="46">
        <v>105281.47</v>
      </c>
      <c r="F175" s="34">
        <v>0</v>
      </c>
      <c r="G175" s="34">
        <v>0</v>
      </c>
      <c r="H175" s="34">
        <v>25776.61</v>
      </c>
    </row>
    <row r="176" spans="1:16" ht="15" customHeight="1" x14ac:dyDescent="0.25">
      <c r="A176" s="153" t="s">
        <v>103</v>
      </c>
      <c r="B176" s="154"/>
      <c r="C176" s="155"/>
      <c r="D176" s="40" t="s">
        <v>104</v>
      </c>
      <c r="E176" s="40">
        <v>0</v>
      </c>
      <c r="F176" s="40">
        <v>44966.74</v>
      </c>
      <c r="G176" s="40">
        <v>0</v>
      </c>
      <c r="H176" s="40">
        <v>0</v>
      </c>
    </row>
    <row r="177" spans="1:9" x14ac:dyDescent="0.25">
      <c r="A177" s="156">
        <v>3</v>
      </c>
      <c r="B177" s="157"/>
      <c r="C177" s="158"/>
      <c r="D177" s="68" t="s">
        <v>16</v>
      </c>
      <c r="E177" s="38">
        <v>0</v>
      </c>
      <c r="F177" s="38">
        <v>44966.74</v>
      </c>
      <c r="G177" s="38">
        <v>0</v>
      </c>
      <c r="H177" s="38">
        <v>0</v>
      </c>
    </row>
    <row r="178" spans="1:9" ht="25.5" x14ac:dyDescent="0.25">
      <c r="A178" s="141">
        <v>32</v>
      </c>
      <c r="B178" s="142"/>
      <c r="C178" s="143"/>
      <c r="D178" s="60" t="s">
        <v>196</v>
      </c>
      <c r="E178" s="59">
        <v>0</v>
      </c>
      <c r="F178" s="59">
        <v>44966.74</v>
      </c>
      <c r="G178" s="59">
        <v>0</v>
      </c>
      <c r="H178" s="59">
        <v>0</v>
      </c>
    </row>
    <row r="179" spans="1:9" ht="25.5" x14ac:dyDescent="0.25">
      <c r="A179" s="144" t="s">
        <v>155</v>
      </c>
      <c r="B179" s="145"/>
      <c r="C179" s="146"/>
      <c r="D179" s="28" t="s">
        <v>195</v>
      </c>
      <c r="E179" s="46">
        <v>0</v>
      </c>
      <c r="F179" s="34">
        <v>44966.74</v>
      </c>
      <c r="G179" s="34">
        <v>0</v>
      </c>
      <c r="H179" s="34"/>
    </row>
    <row r="180" spans="1:9" ht="53.25" customHeight="1" x14ac:dyDescent="0.25">
      <c r="A180" s="168" t="s">
        <v>105</v>
      </c>
      <c r="B180" s="169"/>
      <c r="C180" s="170"/>
      <c r="D180" s="41" t="s">
        <v>79</v>
      </c>
      <c r="E180" s="44">
        <v>1112415.47</v>
      </c>
      <c r="F180" s="44">
        <v>1090594.73</v>
      </c>
      <c r="G180" s="44">
        <f>G181+G284+G306+G347+G363</f>
        <v>1241860.72</v>
      </c>
      <c r="H180" s="44">
        <f>H181+H284+H306+H347+H363</f>
        <v>1241860.72</v>
      </c>
      <c r="I180">
        <v>1241860.72</v>
      </c>
    </row>
    <row r="181" spans="1:9" ht="14.25" customHeight="1" x14ac:dyDescent="0.25">
      <c r="A181" s="150" t="s">
        <v>37</v>
      </c>
      <c r="B181" s="151"/>
      <c r="C181" s="152"/>
      <c r="D181" s="36" t="s">
        <v>16</v>
      </c>
      <c r="E181" s="39">
        <v>56171.39</v>
      </c>
      <c r="F181" s="39">
        <v>20791.03</v>
      </c>
      <c r="G181" s="39">
        <f>G182+G199+G235+G244+G279</f>
        <v>36300.31</v>
      </c>
      <c r="H181" s="39">
        <f>H182+H199+H235+H244+H279</f>
        <v>36300.31</v>
      </c>
      <c r="I181" s="45">
        <f>645432.72-H180</f>
        <v>-596428</v>
      </c>
    </row>
    <row r="182" spans="1:9" ht="15" customHeight="1" x14ac:dyDescent="0.25">
      <c r="A182" s="153" t="s">
        <v>117</v>
      </c>
      <c r="B182" s="154"/>
      <c r="C182" s="155"/>
      <c r="D182" s="40" t="s">
        <v>24</v>
      </c>
      <c r="E182" s="40">
        <v>345.25</v>
      </c>
      <c r="F182" s="40">
        <v>398.17</v>
      </c>
      <c r="G182" s="40">
        <f>G183+G195</f>
        <v>477.8</v>
      </c>
      <c r="H182" s="40">
        <f>H183+H195</f>
        <v>477.8</v>
      </c>
    </row>
    <row r="183" spans="1:9" x14ac:dyDescent="0.25">
      <c r="A183" s="156">
        <v>3</v>
      </c>
      <c r="B183" s="157"/>
      <c r="C183" s="158"/>
      <c r="D183" s="37" t="s">
        <v>16</v>
      </c>
      <c r="E183" s="38">
        <v>55.74</v>
      </c>
      <c r="F183" s="38">
        <v>265.45</v>
      </c>
      <c r="G183" s="38">
        <f>G184+G195</f>
        <v>477.8</v>
      </c>
      <c r="H183" s="38">
        <f>H184</f>
        <v>477.8</v>
      </c>
    </row>
    <row r="184" spans="1:9" x14ac:dyDescent="0.25">
      <c r="A184" s="141">
        <v>32</v>
      </c>
      <c r="B184" s="142"/>
      <c r="C184" s="143"/>
      <c r="D184" s="60" t="s">
        <v>23</v>
      </c>
      <c r="E184" s="59">
        <v>55.74</v>
      </c>
      <c r="F184" s="59">
        <v>265.45</v>
      </c>
      <c r="G184" s="59">
        <f>G187+G190+G192</f>
        <v>477.8</v>
      </c>
      <c r="H184" s="59">
        <f>H187+H190+H192+H185</f>
        <v>477.8</v>
      </c>
    </row>
    <row r="185" spans="1:9" x14ac:dyDescent="0.25">
      <c r="A185" s="147" t="s">
        <v>175</v>
      </c>
      <c r="B185" s="148"/>
      <c r="C185" s="149"/>
      <c r="D185" s="78" t="s">
        <v>73</v>
      </c>
      <c r="E185" s="46">
        <v>608.33000000000004</v>
      </c>
      <c r="F185" s="34">
        <v>2654.46</v>
      </c>
      <c r="G185" s="80">
        <f>G186</f>
        <v>0</v>
      </c>
      <c r="H185" s="80">
        <f>H186</f>
        <v>0</v>
      </c>
    </row>
    <row r="186" spans="1:9" x14ac:dyDescent="0.25">
      <c r="A186" s="144">
        <v>3211</v>
      </c>
      <c r="B186" s="145"/>
      <c r="C186" s="146"/>
      <c r="D186" s="28" t="s">
        <v>39</v>
      </c>
      <c r="E186" s="46">
        <v>31.53</v>
      </c>
      <c r="F186" s="34">
        <v>132.72</v>
      </c>
      <c r="G186" s="34">
        <v>0</v>
      </c>
      <c r="H186" s="34">
        <v>0</v>
      </c>
    </row>
    <row r="187" spans="1:9" x14ac:dyDescent="0.25">
      <c r="A187" s="147" t="s">
        <v>181</v>
      </c>
      <c r="B187" s="148"/>
      <c r="C187" s="149"/>
      <c r="D187" s="78" t="s">
        <v>59</v>
      </c>
      <c r="E187" s="46">
        <v>608.33000000000004</v>
      </c>
      <c r="F187" s="34">
        <v>2654.46</v>
      </c>
      <c r="G187" s="80">
        <f>SUM(G188:G189)</f>
        <v>79.63</v>
      </c>
      <c r="H187" s="80">
        <f>SUM(H188:H189)</f>
        <v>79.63</v>
      </c>
    </row>
    <row r="188" spans="1:9" x14ac:dyDescent="0.25">
      <c r="A188" s="144">
        <v>3221</v>
      </c>
      <c r="B188" s="145">
        <v>3221</v>
      </c>
      <c r="C188" s="146">
        <v>3221</v>
      </c>
      <c r="D188" s="28" t="s">
        <v>41</v>
      </c>
      <c r="E188" s="46">
        <v>27.26</v>
      </c>
      <c r="F188" s="34">
        <v>132.72</v>
      </c>
      <c r="G188" s="34">
        <v>0</v>
      </c>
      <c r="H188" s="34">
        <v>0</v>
      </c>
    </row>
    <row r="189" spans="1:9" x14ac:dyDescent="0.25">
      <c r="A189" s="144">
        <v>3223</v>
      </c>
      <c r="B189" s="145">
        <v>3223</v>
      </c>
      <c r="C189" s="146">
        <v>3223</v>
      </c>
      <c r="D189" s="28" t="s">
        <v>42</v>
      </c>
      <c r="E189" s="46">
        <v>0</v>
      </c>
      <c r="F189" s="34"/>
      <c r="G189" s="34">
        <v>79.63</v>
      </c>
      <c r="H189" s="34">
        <v>79.63</v>
      </c>
    </row>
    <row r="190" spans="1:9" x14ac:dyDescent="0.25">
      <c r="A190" s="147" t="s">
        <v>185</v>
      </c>
      <c r="B190" s="148"/>
      <c r="C190" s="149"/>
      <c r="D190" s="78" t="s">
        <v>61</v>
      </c>
      <c r="E190" s="46">
        <v>608.33000000000004</v>
      </c>
      <c r="F190" s="34">
        <v>2654.46</v>
      </c>
      <c r="G190" s="80">
        <f>G191</f>
        <v>265.45</v>
      </c>
      <c r="H190" s="80">
        <f>H191</f>
        <v>265.45</v>
      </c>
    </row>
    <row r="191" spans="1:9" x14ac:dyDescent="0.25">
      <c r="A191" s="144">
        <v>3239</v>
      </c>
      <c r="B191" s="145">
        <v>3239</v>
      </c>
      <c r="C191" s="146">
        <v>3239</v>
      </c>
      <c r="D191" s="28" t="s">
        <v>52</v>
      </c>
      <c r="E191" s="46">
        <v>0</v>
      </c>
      <c r="F191" s="34"/>
      <c r="G191" s="34">
        <v>265.45</v>
      </c>
      <c r="H191" s="34">
        <v>265.45</v>
      </c>
    </row>
    <row r="192" spans="1:9" x14ac:dyDescent="0.25">
      <c r="A192" s="147" t="s">
        <v>176</v>
      </c>
      <c r="B192" s="148"/>
      <c r="C192" s="149"/>
      <c r="D192" s="78" t="s">
        <v>66</v>
      </c>
      <c r="E192" s="46">
        <v>608.33000000000004</v>
      </c>
      <c r="F192" s="34">
        <v>2654.46</v>
      </c>
      <c r="G192" s="80">
        <f>SUM(G193:G194)</f>
        <v>132.72</v>
      </c>
      <c r="H192" s="80">
        <f>SUM(H193:H194)</f>
        <v>132.72</v>
      </c>
    </row>
    <row r="193" spans="1:8" x14ac:dyDescent="0.25">
      <c r="A193" s="144">
        <v>3293</v>
      </c>
      <c r="B193" s="145">
        <v>3293</v>
      </c>
      <c r="C193" s="146">
        <v>3293</v>
      </c>
      <c r="D193" s="28" t="s">
        <v>53</v>
      </c>
      <c r="E193" s="46">
        <v>0</v>
      </c>
      <c r="F193" s="34">
        <v>66.36</v>
      </c>
      <c r="G193" s="34">
        <v>0</v>
      </c>
      <c r="H193" s="34">
        <v>0</v>
      </c>
    </row>
    <row r="194" spans="1:8" x14ac:dyDescent="0.25">
      <c r="A194" s="144">
        <v>3299</v>
      </c>
      <c r="B194" s="145">
        <v>3299</v>
      </c>
      <c r="C194" s="146">
        <v>3299</v>
      </c>
      <c r="D194" s="28" t="s">
        <v>56</v>
      </c>
      <c r="E194" s="46">
        <v>55.74</v>
      </c>
      <c r="F194" s="34">
        <v>265.45</v>
      </c>
      <c r="G194" s="34">
        <v>132.72</v>
      </c>
      <c r="H194" s="34">
        <v>132.72</v>
      </c>
    </row>
    <row r="195" spans="1:8" ht="25.5" x14ac:dyDescent="0.25">
      <c r="A195" s="156">
        <v>4</v>
      </c>
      <c r="B195" s="157"/>
      <c r="C195" s="158"/>
      <c r="D195" s="57" t="s">
        <v>18</v>
      </c>
      <c r="E195" s="71">
        <v>289.5</v>
      </c>
      <c r="F195" s="71">
        <v>132.72</v>
      </c>
      <c r="G195" s="71">
        <f>G196</f>
        <v>0</v>
      </c>
      <c r="H195" s="71">
        <f>H196</f>
        <v>0</v>
      </c>
    </row>
    <row r="196" spans="1:8" ht="25.5" x14ac:dyDescent="0.25">
      <c r="A196" s="141">
        <v>42</v>
      </c>
      <c r="B196" s="142"/>
      <c r="C196" s="143"/>
      <c r="D196" s="60" t="s">
        <v>87</v>
      </c>
      <c r="E196" s="70">
        <v>289.5</v>
      </c>
      <c r="F196" s="70">
        <v>132.72</v>
      </c>
      <c r="G196" s="70">
        <f>G198</f>
        <v>0</v>
      </c>
      <c r="H196" s="70">
        <f>H198</f>
        <v>0</v>
      </c>
    </row>
    <row r="197" spans="1:8" x14ac:dyDescent="0.25">
      <c r="A197" s="147" t="s">
        <v>202</v>
      </c>
      <c r="B197" s="148"/>
      <c r="C197" s="149"/>
      <c r="D197" s="78" t="s">
        <v>233</v>
      </c>
      <c r="E197" s="46">
        <v>608.33000000000004</v>
      </c>
      <c r="F197" s="34">
        <v>2654.46</v>
      </c>
      <c r="G197" s="80">
        <f>G198</f>
        <v>0</v>
      </c>
      <c r="H197" s="80">
        <f>H198</f>
        <v>0</v>
      </c>
    </row>
    <row r="198" spans="1:8" x14ac:dyDescent="0.25">
      <c r="A198" s="144" t="s">
        <v>157</v>
      </c>
      <c r="B198" s="145"/>
      <c r="C198" s="146"/>
      <c r="D198" s="31" t="s">
        <v>89</v>
      </c>
      <c r="E198" s="46">
        <v>289.5</v>
      </c>
      <c r="F198" s="34">
        <v>132.72</v>
      </c>
      <c r="G198" s="34">
        <v>0</v>
      </c>
      <c r="H198" s="34">
        <v>0</v>
      </c>
    </row>
    <row r="199" spans="1:8" ht="15" customHeight="1" x14ac:dyDescent="0.25">
      <c r="A199" s="153" t="s">
        <v>124</v>
      </c>
      <c r="B199" s="154"/>
      <c r="C199" s="155"/>
      <c r="D199" s="40" t="s">
        <v>125</v>
      </c>
      <c r="E199" s="40">
        <v>5067.57</v>
      </c>
      <c r="F199" s="40">
        <v>4804.57</v>
      </c>
      <c r="G199" s="40">
        <f>G200+G227</f>
        <v>5339.31</v>
      </c>
      <c r="H199" s="40">
        <f>H200+H227</f>
        <v>5339.31</v>
      </c>
    </row>
    <row r="200" spans="1:8" x14ac:dyDescent="0.25">
      <c r="A200" s="156">
        <v>3</v>
      </c>
      <c r="B200" s="157"/>
      <c r="C200" s="158"/>
      <c r="D200" s="37" t="s">
        <v>16</v>
      </c>
      <c r="E200" s="38">
        <v>827.53</v>
      </c>
      <c r="F200" s="38">
        <v>3437.52</v>
      </c>
      <c r="G200" s="38">
        <f>G201+G221</f>
        <v>3543.7</v>
      </c>
      <c r="H200" s="38">
        <f>H201+H221</f>
        <v>3543.7</v>
      </c>
    </row>
    <row r="201" spans="1:8" x14ac:dyDescent="0.25">
      <c r="A201" s="141">
        <v>32</v>
      </c>
      <c r="B201" s="142"/>
      <c r="C201" s="143"/>
      <c r="D201" s="60" t="s">
        <v>23</v>
      </c>
      <c r="E201" s="59">
        <v>759.05</v>
      </c>
      <c r="F201" s="59">
        <v>3304.8</v>
      </c>
      <c r="G201" s="59">
        <f>G202+G205+G211+G218</f>
        <v>3384.43</v>
      </c>
      <c r="H201" s="59">
        <f>H202+H205+H211+H218</f>
        <v>3384.43</v>
      </c>
    </row>
    <row r="202" spans="1:8" x14ac:dyDescent="0.25">
      <c r="A202" s="147" t="s">
        <v>175</v>
      </c>
      <c r="B202" s="148"/>
      <c r="C202" s="149"/>
      <c r="D202" s="78" t="s">
        <v>73</v>
      </c>
      <c r="E202" s="46">
        <v>608.33000000000004</v>
      </c>
      <c r="F202" s="34">
        <v>2654.46</v>
      </c>
      <c r="G202" s="80">
        <f>G203+G204</f>
        <v>530.91</v>
      </c>
      <c r="H202" s="80">
        <f>H203+H204</f>
        <v>530.91</v>
      </c>
    </row>
    <row r="203" spans="1:8" x14ac:dyDescent="0.25">
      <c r="A203" s="144">
        <v>3211</v>
      </c>
      <c r="B203" s="145"/>
      <c r="C203" s="146"/>
      <c r="D203" s="28" t="s">
        <v>39</v>
      </c>
      <c r="E203" s="46">
        <v>31.53</v>
      </c>
      <c r="F203" s="34">
        <v>132.72</v>
      </c>
      <c r="G203" s="34">
        <v>265.45</v>
      </c>
      <c r="H203" s="34">
        <v>265.45</v>
      </c>
    </row>
    <row r="204" spans="1:8" x14ac:dyDescent="0.25">
      <c r="A204" s="144">
        <v>3213</v>
      </c>
      <c r="B204" s="145">
        <v>3213</v>
      </c>
      <c r="C204" s="146">
        <v>3213</v>
      </c>
      <c r="D204" s="28" t="s">
        <v>40</v>
      </c>
      <c r="E204" s="46">
        <v>15.4</v>
      </c>
      <c r="F204" s="34">
        <v>0</v>
      </c>
      <c r="G204" s="34">
        <v>265.45999999999998</v>
      </c>
      <c r="H204" s="34">
        <v>265.45999999999998</v>
      </c>
    </row>
    <row r="205" spans="1:8" x14ac:dyDescent="0.25">
      <c r="A205" s="147" t="s">
        <v>181</v>
      </c>
      <c r="B205" s="148"/>
      <c r="C205" s="149"/>
      <c r="D205" s="78" t="s">
        <v>59</v>
      </c>
      <c r="E205" s="46">
        <v>608.33000000000004</v>
      </c>
      <c r="F205" s="34">
        <v>2654.46</v>
      </c>
      <c r="G205" s="80">
        <f>SUM(G206:G210)</f>
        <v>437.98</v>
      </c>
      <c r="H205" s="80">
        <f>SUM(H206:H210)</f>
        <v>437.98</v>
      </c>
    </row>
    <row r="206" spans="1:8" x14ac:dyDescent="0.25">
      <c r="A206" s="144">
        <v>3221</v>
      </c>
      <c r="B206" s="145">
        <v>3221</v>
      </c>
      <c r="C206" s="146">
        <v>3221</v>
      </c>
      <c r="D206" s="28" t="s">
        <v>41</v>
      </c>
      <c r="E206" s="46">
        <v>27.26</v>
      </c>
      <c r="F206" s="34">
        <v>132.72</v>
      </c>
      <c r="G206" s="34">
        <v>132.72</v>
      </c>
      <c r="H206" s="34">
        <v>132.72</v>
      </c>
    </row>
    <row r="207" spans="1:8" x14ac:dyDescent="0.25">
      <c r="A207" s="144">
        <v>3223</v>
      </c>
      <c r="B207" s="145">
        <v>3223</v>
      </c>
      <c r="C207" s="146">
        <v>3223</v>
      </c>
      <c r="D207" s="28" t="s">
        <v>42</v>
      </c>
      <c r="E207" s="46">
        <v>177.32</v>
      </c>
      <c r="F207" s="34">
        <v>66.36</v>
      </c>
      <c r="G207" s="34">
        <v>13.27</v>
      </c>
      <c r="H207" s="34">
        <v>13.27</v>
      </c>
    </row>
    <row r="208" spans="1:8" x14ac:dyDescent="0.25">
      <c r="A208" s="144" t="s">
        <v>154</v>
      </c>
      <c r="B208" s="145">
        <v>3223</v>
      </c>
      <c r="C208" s="146">
        <v>3223</v>
      </c>
      <c r="D208" s="31" t="s">
        <v>60</v>
      </c>
      <c r="E208" s="46">
        <v>11.04</v>
      </c>
      <c r="F208" s="34">
        <v>265.45</v>
      </c>
      <c r="G208" s="34">
        <v>265.45</v>
      </c>
      <c r="H208" s="34">
        <v>265.45</v>
      </c>
    </row>
    <row r="209" spans="1:8" x14ac:dyDescent="0.25">
      <c r="A209" s="144">
        <v>3225</v>
      </c>
      <c r="B209" s="145">
        <v>3225</v>
      </c>
      <c r="C209" s="146">
        <v>3225</v>
      </c>
      <c r="D209" s="28" t="s">
        <v>43</v>
      </c>
      <c r="E209" s="46">
        <v>0</v>
      </c>
      <c r="F209" s="34">
        <v>26.54</v>
      </c>
      <c r="G209" s="34">
        <v>26.54</v>
      </c>
      <c r="H209" s="34">
        <v>26.54</v>
      </c>
    </row>
    <row r="210" spans="1:8" ht="25.5" x14ac:dyDescent="0.25">
      <c r="A210" s="144" t="s">
        <v>183</v>
      </c>
      <c r="B210" s="145">
        <v>3225</v>
      </c>
      <c r="C210" s="146">
        <v>3225</v>
      </c>
      <c r="D210" s="28" t="s">
        <v>184</v>
      </c>
      <c r="E210" s="46">
        <v>0.44</v>
      </c>
      <c r="F210" s="34">
        <v>0</v>
      </c>
      <c r="G210" s="34">
        <v>0</v>
      </c>
      <c r="H210" s="34">
        <v>0</v>
      </c>
    </row>
    <row r="211" spans="1:8" x14ac:dyDescent="0.25">
      <c r="A211" s="147" t="s">
        <v>185</v>
      </c>
      <c r="B211" s="148"/>
      <c r="C211" s="149"/>
      <c r="D211" s="78" t="s">
        <v>61</v>
      </c>
      <c r="E211" s="46">
        <v>608.33000000000004</v>
      </c>
      <c r="F211" s="34">
        <v>2654.46</v>
      </c>
      <c r="G211" s="80">
        <f>SUM(G212:G217)</f>
        <v>1738.66</v>
      </c>
      <c r="H211" s="80">
        <f>SUM(H212:H217)</f>
        <v>1738.66</v>
      </c>
    </row>
    <row r="212" spans="1:8" x14ac:dyDescent="0.25">
      <c r="A212" s="61">
        <v>3231</v>
      </c>
      <c r="B212" s="62"/>
      <c r="C212" s="63"/>
      <c r="D212" s="28" t="s">
        <v>45</v>
      </c>
      <c r="E212" s="46">
        <v>13.34</v>
      </c>
      <c r="F212" s="34">
        <v>66.36</v>
      </c>
      <c r="G212" s="34">
        <v>66.36</v>
      </c>
      <c r="H212" s="34">
        <v>66.36</v>
      </c>
    </row>
    <row r="213" spans="1:8" ht="26.25" x14ac:dyDescent="0.25">
      <c r="A213" s="144" t="s">
        <v>155</v>
      </c>
      <c r="B213" s="145">
        <v>3233</v>
      </c>
      <c r="C213" s="146">
        <v>3233</v>
      </c>
      <c r="D213" s="31" t="s">
        <v>80</v>
      </c>
      <c r="E213" s="46">
        <v>44.25</v>
      </c>
      <c r="F213" s="34">
        <v>1990.84</v>
      </c>
      <c r="G213" s="34">
        <v>1327.23</v>
      </c>
      <c r="H213" s="34">
        <v>1327.23</v>
      </c>
    </row>
    <row r="214" spans="1:8" x14ac:dyDescent="0.25">
      <c r="A214" s="144">
        <v>3233</v>
      </c>
      <c r="B214" s="145">
        <v>3233</v>
      </c>
      <c r="C214" s="146">
        <v>3233</v>
      </c>
      <c r="D214" s="28" t="s">
        <v>46</v>
      </c>
      <c r="E214" s="46">
        <v>0</v>
      </c>
      <c r="F214" s="34">
        <v>0</v>
      </c>
      <c r="G214" s="34">
        <v>13.27</v>
      </c>
      <c r="H214" s="34">
        <v>13.27</v>
      </c>
    </row>
    <row r="215" spans="1:8" x14ac:dyDescent="0.25">
      <c r="A215" s="144">
        <v>3235</v>
      </c>
      <c r="B215" s="145">
        <v>3235</v>
      </c>
      <c r="C215" s="146">
        <v>3235</v>
      </c>
      <c r="D215" s="28" t="s">
        <v>48</v>
      </c>
      <c r="E215" s="46">
        <v>0</v>
      </c>
      <c r="F215" s="34">
        <v>26.54</v>
      </c>
      <c r="G215" s="34">
        <v>66.36</v>
      </c>
      <c r="H215" s="34">
        <v>66.36</v>
      </c>
    </row>
    <row r="216" spans="1:8" x14ac:dyDescent="0.25">
      <c r="A216" s="144">
        <v>3237</v>
      </c>
      <c r="B216" s="145">
        <v>3237</v>
      </c>
      <c r="C216" s="146">
        <v>3237</v>
      </c>
      <c r="D216" s="28" t="s">
        <v>50</v>
      </c>
      <c r="E216" s="46">
        <v>86.25</v>
      </c>
      <c r="F216" s="34">
        <v>66.36</v>
      </c>
      <c r="G216" s="34">
        <v>66.36</v>
      </c>
      <c r="H216" s="34">
        <v>66.36</v>
      </c>
    </row>
    <row r="217" spans="1:8" x14ac:dyDescent="0.25">
      <c r="A217" s="144">
        <v>3239</v>
      </c>
      <c r="B217" s="145">
        <v>3239</v>
      </c>
      <c r="C217" s="146">
        <v>3239</v>
      </c>
      <c r="D217" s="28" t="s">
        <v>52</v>
      </c>
      <c r="E217" s="46">
        <v>8.27</v>
      </c>
      <c r="F217" s="34">
        <v>199.08</v>
      </c>
      <c r="G217" s="34">
        <v>199.08</v>
      </c>
      <c r="H217" s="34">
        <v>199.08</v>
      </c>
    </row>
    <row r="218" spans="1:8" x14ac:dyDescent="0.25">
      <c r="A218" s="147" t="s">
        <v>176</v>
      </c>
      <c r="B218" s="148"/>
      <c r="C218" s="149"/>
      <c r="D218" s="78" t="s">
        <v>66</v>
      </c>
      <c r="E218" s="46">
        <v>608.33000000000004</v>
      </c>
      <c r="F218" s="34">
        <v>2654.46</v>
      </c>
      <c r="G218" s="80">
        <f>SUM(G219:G220)</f>
        <v>676.88</v>
      </c>
      <c r="H218" s="80">
        <f>SUM(H219:H220)</f>
        <v>676.88</v>
      </c>
    </row>
    <row r="219" spans="1:8" x14ac:dyDescent="0.25">
      <c r="A219" s="144">
        <v>3293</v>
      </c>
      <c r="B219" s="145">
        <v>3293</v>
      </c>
      <c r="C219" s="146">
        <v>3293</v>
      </c>
      <c r="D219" s="28" t="s">
        <v>53</v>
      </c>
      <c r="E219" s="46">
        <v>0</v>
      </c>
      <c r="F219" s="34">
        <v>66.36</v>
      </c>
      <c r="G219" s="34">
        <v>305.26</v>
      </c>
      <c r="H219" s="34">
        <v>305.26</v>
      </c>
    </row>
    <row r="220" spans="1:8" x14ac:dyDescent="0.25">
      <c r="A220" s="144">
        <v>3299</v>
      </c>
      <c r="B220" s="145">
        <v>3299</v>
      </c>
      <c r="C220" s="146">
        <v>3299</v>
      </c>
      <c r="D220" s="28" t="s">
        <v>56</v>
      </c>
      <c r="E220" s="46">
        <v>343.97</v>
      </c>
      <c r="F220" s="34">
        <v>265.45</v>
      </c>
      <c r="G220" s="34">
        <v>371.62</v>
      </c>
      <c r="H220" s="34">
        <v>371.62</v>
      </c>
    </row>
    <row r="221" spans="1:8" x14ac:dyDescent="0.25">
      <c r="A221" s="141">
        <v>34</v>
      </c>
      <c r="B221" s="142"/>
      <c r="C221" s="143"/>
      <c r="D221" s="60" t="s">
        <v>82</v>
      </c>
      <c r="E221" s="59">
        <v>2.12</v>
      </c>
      <c r="F221" s="59">
        <v>132.72</v>
      </c>
      <c r="G221" s="59">
        <f>G222</f>
        <v>159.27000000000001</v>
      </c>
      <c r="H221" s="59">
        <f>H222</f>
        <v>159.27000000000001</v>
      </c>
    </row>
    <row r="222" spans="1:8" x14ac:dyDescent="0.25">
      <c r="A222" s="147" t="s">
        <v>190</v>
      </c>
      <c r="B222" s="148"/>
      <c r="C222" s="149"/>
      <c r="D222" s="78" t="s">
        <v>96</v>
      </c>
      <c r="E222" s="46">
        <v>608.33000000000004</v>
      </c>
      <c r="F222" s="34">
        <v>2654.46</v>
      </c>
      <c r="G222" s="80">
        <f>SUM(G223:G224)</f>
        <v>159.27000000000001</v>
      </c>
      <c r="H222" s="80">
        <f>SUM(H223:H224)</f>
        <v>159.27000000000001</v>
      </c>
    </row>
    <row r="223" spans="1:8" ht="26.25" x14ac:dyDescent="0.25">
      <c r="A223" s="144" t="s">
        <v>144</v>
      </c>
      <c r="B223" s="145">
        <v>3293</v>
      </c>
      <c r="C223" s="146">
        <v>3293</v>
      </c>
      <c r="D223" s="31" t="s">
        <v>83</v>
      </c>
      <c r="E223" s="46">
        <v>0</v>
      </c>
      <c r="F223" s="34">
        <v>119.45</v>
      </c>
      <c r="G223" s="34">
        <v>119.45</v>
      </c>
      <c r="H223" s="34">
        <v>119.45</v>
      </c>
    </row>
    <row r="224" spans="1:8" x14ac:dyDescent="0.25">
      <c r="A224" s="144" t="s">
        <v>156</v>
      </c>
      <c r="B224" s="145">
        <v>3299</v>
      </c>
      <c r="C224" s="146">
        <v>3299</v>
      </c>
      <c r="D224" s="64" t="s">
        <v>84</v>
      </c>
      <c r="E224" s="46">
        <v>2.12</v>
      </c>
      <c r="F224" s="34">
        <v>13.27</v>
      </c>
      <c r="G224" s="34">
        <v>39.82</v>
      </c>
      <c r="H224" s="34">
        <v>39.82</v>
      </c>
    </row>
    <row r="225" spans="1:8" x14ac:dyDescent="0.25">
      <c r="A225" s="141">
        <v>38</v>
      </c>
      <c r="B225" s="142"/>
      <c r="C225" s="143"/>
      <c r="D225" s="60" t="s">
        <v>82</v>
      </c>
      <c r="E225" s="59">
        <v>66.36</v>
      </c>
      <c r="F225" s="59">
        <v>0</v>
      </c>
      <c r="G225" s="59">
        <v>0</v>
      </c>
      <c r="H225" s="59">
        <v>0</v>
      </c>
    </row>
    <row r="226" spans="1:8" x14ac:dyDescent="0.25">
      <c r="A226" s="144" t="s">
        <v>200</v>
      </c>
      <c r="B226" s="145">
        <v>3293</v>
      </c>
      <c r="C226" s="146">
        <v>3293</v>
      </c>
      <c r="D226" s="31" t="s">
        <v>56</v>
      </c>
      <c r="E226" s="46">
        <v>66.36</v>
      </c>
      <c r="F226" s="34"/>
      <c r="G226" s="34">
        <v>0</v>
      </c>
      <c r="H226" s="34"/>
    </row>
    <row r="227" spans="1:8" ht="25.5" x14ac:dyDescent="0.25">
      <c r="A227" s="156">
        <v>4</v>
      </c>
      <c r="B227" s="157"/>
      <c r="C227" s="158"/>
      <c r="D227" s="37" t="s">
        <v>18</v>
      </c>
      <c r="E227" s="38">
        <v>4240.03</v>
      </c>
      <c r="F227" s="38">
        <v>1367.04</v>
      </c>
      <c r="G227" s="38">
        <f>G228</f>
        <v>1795.61</v>
      </c>
      <c r="H227" s="38">
        <f>H228</f>
        <v>1795.61</v>
      </c>
    </row>
    <row r="228" spans="1:8" ht="25.5" x14ac:dyDescent="0.25">
      <c r="A228" s="141">
        <v>42</v>
      </c>
      <c r="B228" s="142"/>
      <c r="C228" s="143"/>
      <c r="D228" s="60" t="s">
        <v>87</v>
      </c>
      <c r="E228" s="59">
        <v>4240.03</v>
      </c>
      <c r="F228" s="59">
        <v>1367.04</v>
      </c>
      <c r="G228" s="59">
        <f>G229+G233</f>
        <v>1795.61</v>
      </c>
      <c r="H228" s="59">
        <f>H229+H233</f>
        <v>1795.61</v>
      </c>
    </row>
    <row r="229" spans="1:8" x14ac:dyDescent="0.25">
      <c r="A229" s="147" t="s">
        <v>202</v>
      </c>
      <c r="B229" s="148"/>
      <c r="C229" s="149"/>
      <c r="D229" s="78" t="s">
        <v>88</v>
      </c>
      <c r="E229" s="46">
        <v>608.33000000000004</v>
      </c>
      <c r="F229" s="34">
        <v>2654.46</v>
      </c>
      <c r="G229" s="80">
        <f>SUM(G230:G232)</f>
        <v>1755.79</v>
      </c>
      <c r="H229" s="80">
        <f>SUM(H230:H232)</f>
        <v>1755.79</v>
      </c>
    </row>
    <row r="230" spans="1:8" x14ac:dyDescent="0.25">
      <c r="A230" s="144" t="s">
        <v>157</v>
      </c>
      <c r="B230" s="145"/>
      <c r="C230" s="146"/>
      <c r="D230" s="31" t="s">
        <v>89</v>
      </c>
      <c r="E230" s="46">
        <v>4011.53</v>
      </c>
      <c r="F230" s="34">
        <v>1327.23</v>
      </c>
      <c r="G230" s="34">
        <v>1327.23</v>
      </c>
      <c r="H230" s="34">
        <v>1327.23</v>
      </c>
    </row>
    <row r="231" spans="1:8" x14ac:dyDescent="0.25">
      <c r="A231" s="144" t="s">
        <v>158</v>
      </c>
      <c r="B231" s="145"/>
      <c r="C231" s="146"/>
      <c r="D231" s="31" t="s">
        <v>90</v>
      </c>
      <c r="E231" s="46">
        <v>0</v>
      </c>
      <c r="F231" s="34"/>
      <c r="G231" s="34">
        <v>295.83999999999997</v>
      </c>
      <c r="H231" s="34">
        <v>295.83999999999997</v>
      </c>
    </row>
    <row r="232" spans="1:8" ht="20.25" customHeight="1" x14ac:dyDescent="0.25">
      <c r="A232" s="144" t="s">
        <v>159</v>
      </c>
      <c r="B232" s="145"/>
      <c r="C232" s="146"/>
      <c r="D232" s="31" t="s">
        <v>91</v>
      </c>
      <c r="E232" s="46">
        <v>0</v>
      </c>
      <c r="F232" s="34"/>
      <c r="G232" s="34">
        <v>132.72</v>
      </c>
      <c r="H232" s="34">
        <v>132.72</v>
      </c>
    </row>
    <row r="233" spans="1:8" x14ac:dyDescent="0.25">
      <c r="A233" s="147" t="s">
        <v>203</v>
      </c>
      <c r="B233" s="148"/>
      <c r="C233" s="149"/>
      <c r="D233" s="78" t="s">
        <v>204</v>
      </c>
      <c r="E233" s="46">
        <v>608.33000000000004</v>
      </c>
      <c r="F233" s="34">
        <v>2654.46</v>
      </c>
      <c r="G233" s="80">
        <f>G234</f>
        <v>39.82</v>
      </c>
      <c r="H233" s="80">
        <f>H234</f>
        <v>39.82</v>
      </c>
    </row>
    <row r="234" spans="1:8" x14ac:dyDescent="0.25">
      <c r="A234" s="144" t="s">
        <v>160</v>
      </c>
      <c r="B234" s="145"/>
      <c r="C234" s="146"/>
      <c r="D234" s="31" t="s">
        <v>92</v>
      </c>
      <c r="E234" s="46">
        <v>228.5</v>
      </c>
      <c r="F234" s="34">
        <v>39.82</v>
      </c>
      <c r="G234" s="34">
        <v>39.82</v>
      </c>
      <c r="H234" s="34">
        <v>39.82</v>
      </c>
    </row>
    <row r="235" spans="1:8" ht="15" customHeight="1" x14ac:dyDescent="0.25">
      <c r="A235" s="153" t="s">
        <v>126</v>
      </c>
      <c r="B235" s="154"/>
      <c r="C235" s="155"/>
      <c r="D235" s="40" t="s">
        <v>127</v>
      </c>
      <c r="E235" s="40">
        <v>1185.21</v>
      </c>
      <c r="F235" s="40">
        <v>5162.92</v>
      </c>
      <c r="G235" s="40">
        <f>G236</f>
        <v>14463.47</v>
      </c>
      <c r="H235" s="40">
        <f>H236</f>
        <v>14463.47</v>
      </c>
    </row>
    <row r="236" spans="1:8" x14ac:dyDescent="0.25">
      <c r="A236" s="156">
        <v>3</v>
      </c>
      <c r="B236" s="157"/>
      <c r="C236" s="158"/>
      <c r="D236" s="37" t="s">
        <v>16</v>
      </c>
      <c r="E236" s="38">
        <v>1185.21</v>
      </c>
      <c r="F236" s="38">
        <v>5162.92</v>
      </c>
      <c r="G236" s="38">
        <f>G237</f>
        <v>14463.47</v>
      </c>
      <c r="H236" s="38">
        <f>H237</f>
        <v>14463.47</v>
      </c>
    </row>
    <row r="237" spans="1:8" x14ac:dyDescent="0.25">
      <c r="A237" s="141">
        <v>32</v>
      </c>
      <c r="B237" s="142"/>
      <c r="C237" s="143"/>
      <c r="D237" s="60" t="s">
        <v>23</v>
      </c>
      <c r="E237" s="59">
        <v>1185.21</v>
      </c>
      <c r="F237" s="59">
        <v>5162.92</v>
      </c>
      <c r="G237" s="59">
        <f>G238+G241</f>
        <v>14463.47</v>
      </c>
      <c r="H237" s="59">
        <f>H238+H241</f>
        <v>14463.47</v>
      </c>
    </row>
    <row r="238" spans="1:8" x14ac:dyDescent="0.25">
      <c r="A238" s="147" t="s">
        <v>185</v>
      </c>
      <c r="B238" s="148"/>
      <c r="C238" s="149"/>
      <c r="D238" s="78" t="s">
        <v>61</v>
      </c>
      <c r="E238" s="46">
        <v>608.33000000000004</v>
      </c>
      <c r="F238" s="34">
        <v>2654.46</v>
      </c>
      <c r="G238" s="80">
        <f>SUM(G239:G240)</f>
        <v>11410.84</v>
      </c>
      <c r="H238" s="80">
        <f>SUM(H239:H240)</f>
        <v>11410.84</v>
      </c>
    </row>
    <row r="239" spans="1:8" x14ac:dyDescent="0.25">
      <c r="A239" s="144">
        <v>3231</v>
      </c>
      <c r="B239" s="145">
        <v>3231</v>
      </c>
      <c r="C239" s="146">
        <v>3231</v>
      </c>
      <c r="D239" s="28" t="s">
        <v>45</v>
      </c>
      <c r="E239" s="46">
        <v>1185.21</v>
      </c>
      <c r="F239" s="34">
        <v>2654.46</v>
      </c>
      <c r="G239" s="34">
        <v>10352.379999999999</v>
      </c>
      <c r="H239" s="34">
        <v>10352.379999999999</v>
      </c>
    </row>
    <row r="240" spans="1:8" ht="26.25" x14ac:dyDescent="0.25">
      <c r="A240" s="144" t="s">
        <v>155</v>
      </c>
      <c r="B240" s="145">
        <v>3233</v>
      </c>
      <c r="C240" s="146">
        <v>3233</v>
      </c>
      <c r="D240" s="31" t="s">
        <v>80</v>
      </c>
      <c r="E240" s="46">
        <v>0</v>
      </c>
      <c r="F240" s="34"/>
      <c r="G240" s="34">
        <v>1058.46</v>
      </c>
      <c r="H240" s="34">
        <v>1058.46</v>
      </c>
    </row>
    <row r="241" spans="1:8" x14ac:dyDescent="0.25">
      <c r="A241" s="147" t="s">
        <v>176</v>
      </c>
      <c r="B241" s="148"/>
      <c r="C241" s="149"/>
      <c r="D241" s="78" t="s">
        <v>66</v>
      </c>
      <c r="E241" s="46">
        <v>608.33000000000004</v>
      </c>
      <c r="F241" s="34">
        <v>2654.46</v>
      </c>
      <c r="G241" s="80">
        <f>SUM(G242:G243)</f>
        <v>3052.63</v>
      </c>
      <c r="H241" s="80">
        <f>SUM(H242:H243)</f>
        <v>3052.63</v>
      </c>
    </row>
    <row r="242" spans="1:8" x14ac:dyDescent="0.25">
      <c r="A242" s="144" t="s">
        <v>161</v>
      </c>
      <c r="B242" s="145">
        <v>3295</v>
      </c>
      <c r="C242" s="146">
        <v>3295</v>
      </c>
      <c r="D242" s="31" t="s">
        <v>81</v>
      </c>
      <c r="E242" s="46">
        <v>0</v>
      </c>
      <c r="F242" s="34">
        <v>1844.85</v>
      </c>
      <c r="G242" s="34">
        <v>1844.85</v>
      </c>
      <c r="H242" s="34">
        <v>1844.85</v>
      </c>
    </row>
    <row r="243" spans="1:8" x14ac:dyDescent="0.25">
      <c r="A243" s="144">
        <v>3299</v>
      </c>
      <c r="B243" s="145">
        <v>3299</v>
      </c>
      <c r="C243" s="146">
        <v>3299</v>
      </c>
      <c r="D243" s="28" t="s">
        <v>56</v>
      </c>
      <c r="E243" s="46">
        <v>0</v>
      </c>
      <c r="F243" s="34">
        <v>663.61</v>
      </c>
      <c r="G243" s="34">
        <v>1207.78</v>
      </c>
      <c r="H243" s="34">
        <v>1207.78</v>
      </c>
    </row>
    <row r="244" spans="1:8" ht="15" customHeight="1" x14ac:dyDescent="0.25">
      <c r="A244" s="153" t="s">
        <v>128</v>
      </c>
      <c r="B244" s="154"/>
      <c r="C244" s="155"/>
      <c r="D244" s="40" t="s">
        <v>129</v>
      </c>
      <c r="E244" s="40">
        <v>49573.37</v>
      </c>
      <c r="F244" s="40">
        <v>10359.02</v>
      </c>
      <c r="G244" s="40">
        <f>G245+G272</f>
        <v>15488.84</v>
      </c>
      <c r="H244" s="40">
        <f>H245+H272</f>
        <v>15488.84</v>
      </c>
    </row>
    <row r="245" spans="1:8" x14ac:dyDescent="0.25">
      <c r="A245" s="156">
        <v>3</v>
      </c>
      <c r="B245" s="157"/>
      <c r="C245" s="158"/>
      <c r="D245" s="37" t="s">
        <v>16</v>
      </c>
      <c r="E245" s="38">
        <v>37391.370000000003</v>
      </c>
      <c r="F245" s="38">
        <v>9164.51</v>
      </c>
      <c r="G245" s="38">
        <f>G246+G269</f>
        <v>14294.33</v>
      </c>
      <c r="H245" s="38">
        <f>H246+H269</f>
        <v>14294.33</v>
      </c>
    </row>
    <row r="246" spans="1:8" x14ac:dyDescent="0.25">
      <c r="A246" s="141">
        <v>32</v>
      </c>
      <c r="B246" s="142"/>
      <c r="C246" s="143"/>
      <c r="D246" s="60" t="s">
        <v>23</v>
      </c>
      <c r="E246" s="59">
        <v>30887.29</v>
      </c>
      <c r="F246" s="59">
        <v>9164.51</v>
      </c>
      <c r="G246" s="59">
        <f>G247+G250+G255++G264</f>
        <v>14294.33</v>
      </c>
      <c r="H246" s="59">
        <f>H247+H250+H255++H264</f>
        <v>14294.33</v>
      </c>
    </row>
    <row r="247" spans="1:8" x14ac:dyDescent="0.25">
      <c r="A247" s="147" t="s">
        <v>175</v>
      </c>
      <c r="B247" s="148"/>
      <c r="C247" s="149"/>
      <c r="D247" s="78" t="s">
        <v>73</v>
      </c>
      <c r="E247" s="46">
        <v>608.33000000000004</v>
      </c>
      <c r="F247" s="34">
        <v>2654.46</v>
      </c>
      <c r="G247" s="80">
        <f>G248+G249</f>
        <v>8202.35</v>
      </c>
      <c r="H247" s="80">
        <f>H248+H249</f>
        <v>8202.35</v>
      </c>
    </row>
    <row r="248" spans="1:8" x14ac:dyDescent="0.25">
      <c r="A248" s="144">
        <v>3211</v>
      </c>
      <c r="B248" s="145"/>
      <c r="C248" s="146"/>
      <c r="D248" s="28" t="s">
        <v>39</v>
      </c>
      <c r="E248" s="46">
        <v>0</v>
      </c>
      <c r="F248" s="34">
        <v>199.08</v>
      </c>
      <c r="G248" s="34">
        <v>6202.35</v>
      </c>
      <c r="H248" s="34">
        <v>6202.35</v>
      </c>
    </row>
    <row r="249" spans="1:8" x14ac:dyDescent="0.25">
      <c r="A249" s="144">
        <v>3213</v>
      </c>
      <c r="B249" s="145">
        <v>3213</v>
      </c>
      <c r="C249" s="146">
        <v>3213</v>
      </c>
      <c r="D249" s="28" t="s">
        <v>40</v>
      </c>
      <c r="E249" s="46">
        <v>268.76</v>
      </c>
      <c r="F249" s="34">
        <v>265.45</v>
      </c>
      <c r="G249" s="34">
        <v>2000</v>
      </c>
      <c r="H249" s="34">
        <v>2000</v>
      </c>
    </row>
    <row r="250" spans="1:8" x14ac:dyDescent="0.25">
      <c r="A250" s="147" t="s">
        <v>181</v>
      </c>
      <c r="B250" s="148"/>
      <c r="C250" s="149"/>
      <c r="D250" s="78" t="s">
        <v>59</v>
      </c>
      <c r="E250" s="46">
        <v>608.33000000000004</v>
      </c>
      <c r="F250" s="34">
        <v>2654.46</v>
      </c>
      <c r="G250" s="80">
        <f>SUM(G251:G254)</f>
        <v>2243.02</v>
      </c>
      <c r="H250" s="80">
        <f>SUM(H251:H254)</f>
        <v>2243.02</v>
      </c>
    </row>
    <row r="251" spans="1:8" x14ac:dyDescent="0.25">
      <c r="A251" s="144">
        <v>3221</v>
      </c>
      <c r="B251" s="145">
        <v>3221</v>
      </c>
      <c r="C251" s="146">
        <v>3221</v>
      </c>
      <c r="D251" s="28" t="s">
        <v>41</v>
      </c>
      <c r="E251" s="46">
        <v>26514.48</v>
      </c>
      <c r="F251" s="34">
        <v>6038.89</v>
      </c>
      <c r="G251" s="34">
        <v>1393.59</v>
      </c>
      <c r="H251" s="34">
        <v>1393.59</v>
      </c>
    </row>
    <row r="252" spans="1:8" x14ac:dyDescent="0.25">
      <c r="A252" s="144">
        <v>3223</v>
      </c>
      <c r="B252" s="145">
        <v>3223</v>
      </c>
      <c r="C252" s="146">
        <v>3223</v>
      </c>
      <c r="D252" s="28" t="s">
        <v>42</v>
      </c>
      <c r="E252" s="46">
        <v>0</v>
      </c>
      <c r="F252" s="34"/>
      <c r="G252" s="34">
        <v>0</v>
      </c>
      <c r="H252" s="34">
        <v>0</v>
      </c>
    </row>
    <row r="253" spans="1:8" x14ac:dyDescent="0.25">
      <c r="A253" s="144">
        <v>3225</v>
      </c>
      <c r="B253" s="145">
        <v>3225</v>
      </c>
      <c r="C253" s="146">
        <v>3225</v>
      </c>
      <c r="D253" s="28" t="s">
        <v>43</v>
      </c>
      <c r="E253" s="46">
        <v>56.41</v>
      </c>
      <c r="F253" s="34"/>
      <c r="G253" s="34">
        <v>849.43</v>
      </c>
      <c r="H253" s="34">
        <v>849.43</v>
      </c>
    </row>
    <row r="254" spans="1:8" x14ac:dyDescent="0.25">
      <c r="A254" s="144">
        <v>3227</v>
      </c>
      <c r="B254" s="145">
        <v>3227</v>
      </c>
      <c r="C254" s="146">
        <v>3227</v>
      </c>
      <c r="D254" s="28" t="s">
        <v>44</v>
      </c>
      <c r="E254" s="46">
        <v>199.08</v>
      </c>
      <c r="F254" s="34"/>
      <c r="G254" s="34">
        <v>0</v>
      </c>
      <c r="H254" s="34">
        <v>0</v>
      </c>
    </row>
    <row r="255" spans="1:8" x14ac:dyDescent="0.25">
      <c r="A255" s="147" t="s">
        <v>185</v>
      </c>
      <c r="B255" s="148"/>
      <c r="C255" s="149"/>
      <c r="D255" s="78" t="s">
        <v>61</v>
      </c>
      <c r="E255" s="46">
        <v>608.33000000000004</v>
      </c>
      <c r="F255" s="34">
        <v>2654.46</v>
      </c>
      <c r="G255" s="80">
        <f>SUM(G256:G263)</f>
        <v>3410.97</v>
      </c>
      <c r="H255" s="80">
        <f>SUM(H256:H263)</f>
        <v>3410.97</v>
      </c>
    </row>
    <row r="256" spans="1:8" x14ac:dyDescent="0.25">
      <c r="A256" s="144">
        <v>3231</v>
      </c>
      <c r="B256" s="145">
        <v>3231</v>
      </c>
      <c r="C256" s="146">
        <v>3231</v>
      </c>
      <c r="D256" s="28" t="s">
        <v>45</v>
      </c>
      <c r="E256" s="46">
        <v>1015.33</v>
      </c>
      <c r="F256" s="34">
        <v>1327.23</v>
      </c>
      <c r="G256" s="34">
        <v>1526.31</v>
      </c>
      <c r="H256" s="34">
        <v>1526.31</v>
      </c>
    </row>
    <row r="257" spans="1:8" x14ac:dyDescent="0.25">
      <c r="A257" s="144">
        <v>3233</v>
      </c>
      <c r="B257" s="145">
        <v>3233</v>
      </c>
      <c r="C257" s="146">
        <v>3233</v>
      </c>
      <c r="D257" s="28" t="s">
        <v>46</v>
      </c>
      <c r="E257" s="46">
        <v>0</v>
      </c>
      <c r="F257" s="34"/>
      <c r="G257" s="34">
        <v>0</v>
      </c>
      <c r="H257" s="34">
        <v>0</v>
      </c>
    </row>
    <row r="258" spans="1:8" x14ac:dyDescent="0.25">
      <c r="A258" s="144">
        <v>3234</v>
      </c>
      <c r="B258" s="145">
        <v>3234</v>
      </c>
      <c r="C258" s="146">
        <v>3234</v>
      </c>
      <c r="D258" s="28" t="s">
        <v>47</v>
      </c>
      <c r="E258" s="46">
        <v>0</v>
      </c>
      <c r="F258" s="34"/>
      <c r="G258" s="34">
        <v>0</v>
      </c>
      <c r="H258" s="34">
        <v>0</v>
      </c>
    </row>
    <row r="259" spans="1:8" x14ac:dyDescent="0.25">
      <c r="A259" s="144">
        <v>3235</v>
      </c>
      <c r="B259" s="145">
        <v>3235</v>
      </c>
      <c r="C259" s="146">
        <v>3235</v>
      </c>
      <c r="D259" s="28" t="s">
        <v>48</v>
      </c>
      <c r="E259" s="46">
        <v>66.5</v>
      </c>
      <c r="F259" s="34"/>
      <c r="G259" s="34">
        <v>66.36</v>
      </c>
      <c r="H259" s="34">
        <v>66.36</v>
      </c>
    </row>
    <row r="260" spans="1:8" x14ac:dyDescent="0.25">
      <c r="A260" s="144">
        <v>3236</v>
      </c>
      <c r="B260" s="145">
        <v>3236</v>
      </c>
      <c r="C260" s="146">
        <v>3236</v>
      </c>
      <c r="D260" s="28" t="s">
        <v>49</v>
      </c>
      <c r="E260" s="46">
        <v>0</v>
      </c>
      <c r="F260" s="34"/>
      <c r="G260" s="34">
        <v>0</v>
      </c>
      <c r="H260" s="34">
        <v>0</v>
      </c>
    </row>
    <row r="261" spans="1:8" x14ac:dyDescent="0.25">
      <c r="A261" s="144">
        <v>3237</v>
      </c>
      <c r="B261" s="145">
        <v>3237</v>
      </c>
      <c r="C261" s="146">
        <v>3237</v>
      </c>
      <c r="D261" s="28" t="s">
        <v>50</v>
      </c>
      <c r="E261" s="46">
        <v>0</v>
      </c>
      <c r="F261" s="34"/>
      <c r="G261" s="34">
        <v>0</v>
      </c>
      <c r="H261" s="34">
        <v>0</v>
      </c>
    </row>
    <row r="262" spans="1:8" x14ac:dyDescent="0.25">
      <c r="A262" s="144">
        <v>3238</v>
      </c>
      <c r="B262" s="145">
        <v>3238</v>
      </c>
      <c r="C262" s="146">
        <v>3238</v>
      </c>
      <c r="D262" s="28" t="s">
        <v>51</v>
      </c>
      <c r="E262" s="46">
        <v>0</v>
      </c>
      <c r="F262" s="34"/>
      <c r="G262" s="34">
        <v>0</v>
      </c>
      <c r="H262" s="34">
        <v>0</v>
      </c>
    </row>
    <row r="263" spans="1:8" x14ac:dyDescent="0.25">
      <c r="A263" s="144">
        <v>3239</v>
      </c>
      <c r="B263" s="145">
        <v>3239</v>
      </c>
      <c r="C263" s="146">
        <v>3239</v>
      </c>
      <c r="D263" s="28" t="s">
        <v>52</v>
      </c>
      <c r="E263" s="46">
        <v>2369.1</v>
      </c>
      <c r="F263" s="34">
        <v>935.7</v>
      </c>
      <c r="G263" s="34">
        <v>1818.3</v>
      </c>
      <c r="H263" s="34">
        <v>1818.3</v>
      </c>
    </row>
    <row r="264" spans="1:8" x14ac:dyDescent="0.25">
      <c r="A264" s="147" t="s">
        <v>176</v>
      </c>
      <c r="B264" s="148"/>
      <c r="C264" s="149"/>
      <c r="D264" s="78" t="s">
        <v>66</v>
      </c>
      <c r="E264" s="46">
        <v>608.33000000000004</v>
      </c>
      <c r="F264" s="34">
        <v>2654.46</v>
      </c>
      <c r="G264" s="80">
        <f>SUM(G265:G268)</f>
        <v>437.99</v>
      </c>
      <c r="H264" s="80">
        <f>SUM(H265:H268)</f>
        <v>437.99</v>
      </c>
    </row>
    <row r="265" spans="1:8" x14ac:dyDescent="0.25">
      <c r="A265" s="144">
        <v>3293</v>
      </c>
      <c r="B265" s="145">
        <v>3293</v>
      </c>
      <c r="C265" s="146">
        <v>3293</v>
      </c>
      <c r="D265" s="28" t="s">
        <v>53</v>
      </c>
      <c r="E265" s="46">
        <v>0</v>
      </c>
      <c r="F265" s="34">
        <v>66.36</v>
      </c>
      <c r="G265" s="34">
        <v>106.18</v>
      </c>
      <c r="H265" s="34">
        <v>106.18</v>
      </c>
    </row>
    <row r="266" spans="1:8" x14ac:dyDescent="0.25">
      <c r="A266" s="144">
        <v>3294</v>
      </c>
      <c r="B266" s="145">
        <v>3294</v>
      </c>
      <c r="C266" s="146">
        <v>3294</v>
      </c>
      <c r="D266" s="28" t="s">
        <v>54</v>
      </c>
      <c r="E266" s="46">
        <v>0</v>
      </c>
      <c r="F266" s="34"/>
      <c r="G266" s="34">
        <v>0</v>
      </c>
      <c r="H266" s="34">
        <v>0</v>
      </c>
    </row>
    <row r="267" spans="1:8" x14ac:dyDescent="0.25">
      <c r="A267" s="144">
        <v>3295</v>
      </c>
      <c r="B267" s="145">
        <v>3295</v>
      </c>
      <c r="C267" s="146">
        <v>3295</v>
      </c>
      <c r="D267" s="28" t="s">
        <v>55</v>
      </c>
      <c r="E267" s="46">
        <v>0</v>
      </c>
      <c r="F267" s="34"/>
      <c r="G267" s="34">
        <v>0</v>
      </c>
      <c r="H267" s="34">
        <v>0</v>
      </c>
    </row>
    <row r="268" spans="1:8" x14ac:dyDescent="0.25">
      <c r="A268" s="144">
        <v>3299</v>
      </c>
      <c r="B268" s="145">
        <v>3299</v>
      </c>
      <c r="C268" s="146">
        <v>3299</v>
      </c>
      <c r="D268" s="28" t="s">
        <v>56</v>
      </c>
      <c r="E268" s="46">
        <v>397.62</v>
      </c>
      <c r="F268" s="34">
        <v>331.81</v>
      </c>
      <c r="G268" s="34">
        <v>331.81</v>
      </c>
      <c r="H268" s="34">
        <v>331.81</v>
      </c>
    </row>
    <row r="269" spans="1:8" x14ac:dyDescent="0.25">
      <c r="A269" s="141">
        <v>34</v>
      </c>
      <c r="B269" s="142"/>
      <c r="C269" s="143"/>
      <c r="D269" s="60" t="s">
        <v>82</v>
      </c>
      <c r="E269" s="59">
        <v>6504.08</v>
      </c>
      <c r="F269" s="59">
        <v>0</v>
      </c>
      <c r="G269" s="59">
        <f>G270</f>
        <v>0</v>
      </c>
      <c r="H269" s="59">
        <f>H270</f>
        <v>0</v>
      </c>
    </row>
    <row r="270" spans="1:8" x14ac:dyDescent="0.25">
      <c r="A270" s="147" t="s">
        <v>190</v>
      </c>
      <c r="B270" s="148"/>
      <c r="C270" s="149"/>
      <c r="D270" s="78" t="s">
        <v>96</v>
      </c>
      <c r="E270" s="46">
        <v>608.33000000000004</v>
      </c>
      <c r="F270" s="34">
        <v>2654.46</v>
      </c>
      <c r="G270" s="80">
        <f>G271</f>
        <v>0</v>
      </c>
      <c r="H270" s="80">
        <f>H271</f>
        <v>0</v>
      </c>
    </row>
    <row r="271" spans="1:8" x14ac:dyDescent="0.25">
      <c r="A271" s="144" t="s">
        <v>156</v>
      </c>
      <c r="B271" s="145">
        <v>3299</v>
      </c>
      <c r="C271" s="146">
        <v>3299</v>
      </c>
      <c r="D271" s="64" t="s">
        <v>84</v>
      </c>
      <c r="E271" s="46">
        <v>6504.08</v>
      </c>
      <c r="F271" s="34"/>
      <c r="G271" s="34">
        <v>0</v>
      </c>
      <c r="H271" s="34">
        <v>0</v>
      </c>
    </row>
    <row r="272" spans="1:8" ht="25.5" x14ac:dyDescent="0.25">
      <c r="A272" s="156">
        <v>4</v>
      </c>
      <c r="B272" s="157"/>
      <c r="C272" s="158"/>
      <c r="D272" s="37" t="s">
        <v>18</v>
      </c>
      <c r="E272" s="38">
        <v>12182</v>
      </c>
      <c r="F272" s="38">
        <v>1194.51</v>
      </c>
      <c r="G272" s="38">
        <f>G273</f>
        <v>1194.51</v>
      </c>
      <c r="H272" s="38">
        <f>H273</f>
        <v>1194.51</v>
      </c>
    </row>
    <row r="273" spans="1:8" ht="25.5" x14ac:dyDescent="0.25">
      <c r="A273" s="141">
        <v>42</v>
      </c>
      <c r="B273" s="142"/>
      <c r="C273" s="143"/>
      <c r="D273" s="60" t="s">
        <v>87</v>
      </c>
      <c r="E273" s="59">
        <v>12182</v>
      </c>
      <c r="F273" s="59">
        <v>1194.51</v>
      </c>
      <c r="G273" s="59">
        <f>G274+G277</f>
        <v>1194.51</v>
      </c>
      <c r="H273" s="59">
        <f>H274+H277</f>
        <v>1194.51</v>
      </c>
    </row>
    <row r="274" spans="1:8" x14ac:dyDescent="0.25">
      <c r="A274" s="147" t="s">
        <v>202</v>
      </c>
      <c r="B274" s="148"/>
      <c r="C274" s="149"/>
      <c r="D274" s="78" t="s">
        <v>88</v>
      </c>
      <c r="E274" s="46">
        <v>608.33000000000004</v>
      </c>
      <c r="F274" s="34">
        <v>2654.46</v>
      </c>
      <c r="G274" s="80">
        <f>SUM(G275:G276)</f>
        <v>265.45</v>
      </c>
      <c r="H274" s="80">
        <f>SUM(H275:H276)</f>
        <v>265.45</v>
      </c>
    </row>
    <row r="275" spans="1:8" x14ac:dyDescent="0.25">
      <c r="A275" s="144" t="s">
        <v>157</v>
      </c>
      <c r="B275" s="145"/>
      <c r="C275" s="146"/>
      <c r="D275" s="31" t="s">
        <v>89</v>
      </c>
      <c r="E275" s="46">
        <v>573.86</v>
      </c>
      <c r="F275" s="34">
        <v>265.45</v>
      </c>
      <c r="G275" s="34">
        <v>265.45</v>
      </c>
      <c r="H275" s="34">
        <v>265.45</v>
      </c>
    </row>
    <row r="276" spans="1:8" ht="26.25" x14ac:dyDescent="0.25">
      <c r="A276" s="144" t="s">
        <v>159</v>
      </c>
      <c r="B276" s="145"/>
      <c r="C276" s="146"/>
      <c r="D276" s="31" t="s">
        <v>98</v>
      </c>
      <c r="E276" s="46">
        <v>5592.74</v>
      </c>
      <c r="F276" s="34"/>
      <c r="G276" s="34">
        <v>0</v>
      </c>
      <c r="H276" s="34">
        <v>0</v>
      </c>
    </row>
    <row r="277" spans="1:8" x14ac:dyDescent="0.25">
      <c r="A277" s="147" t="s">
        <v>202</v>
      </c>
      <c r="B277" s="148"/>
      <c r="C277" s="149"/>
      <c r="D277" s="78" t="s">
        <v>204</v>
      </c>
      <c r="E277" s="46">
        <v>608.33000000000004</v>
      </c>
      <c r="F277" s="34">
        <v>2654.46</v>
      </c>
      <c r="G277" s="80">
        <f>G278</f>
        <v>929.06</v>
      </c>
      <c r="H277" s="80">
        <f>H278</f>
        <v>929.06</v>
      </c>
    </row>
    <row r="278" spans="1:8" x14ac:dyDescent="0.25">
      <c r="A278" s="144" t="s">
        <v>160</v>
      </c>
      <c r="B278" s="145"/>
      <c r="C278" s="146"/>
      <c r="D278" s="31" t="s">
        <v>92</v>
      </c>
      <c r="E278" s="46">
        <v>6015.4</v>
      </c>
      <c r="F278" s="34">
        <v>929.06</v>
      </c>
      <c r="G278" s="34">
        <v>929.06</v>
      </c>
      <c r="H278" s="34">
        <v>929.06</v>
      </c>
    </row>
    <row r="279" spans="1:8" ht="15" customHeight="1" x14ac:dyDescent="0.25">
      <c r="A279" s="153" t="s">
        <v>215</v>
      </c>
      <c r="B279" s="154"/>
      <c r="C279" s="155"/>
      <c r="D279" s="40" t="s">
        <v>130</v>
      </c>
      <c r="E279" s="40">
        <v>0</v>
      </c>
      <c r="F279" s="40">
        <v>66.36</v>
      </c>
      <c r="G279" s="40">
        <f t="shared" ref="G279:H282" si="27">G280</f>
        <v>530.89</v>
      </c>
      <c r="H279" s="40">
        <f t="shared" si="27"/>
        <v>530.89</v>
      </c>
    </row>
    <row r="280" spans="1:8" x14ac:dyDescent="0.25">
      <c r="A280" s="156">
        <v>3</v>
      </c>
      <c r="B280" s="157"/>
      <c r="C280" s="158"/>
      <c r="D280" s="37" t="s">
        <v>16</v>
      </c>
      <c r="E280" s="38">
        <v>0</v>
      </c>
      <c r="F280" s="38">
        <v>66.36</v>
      </c>
      <c r="G280" s="38">
        <f t="shared" si="27"/>
        <v>530.89</v>
      </c>
      <c r="H280" s="38">
        <f t="shared" si="27"/>
        <v>530.89</v>
      </c>
    </row>
    <row r="281" spans="1:8" x14ac:dyDescent="0.25">
      <c r="A281" s="141">
        <v>32</v>
      </c>
      <c r="B281" s="142"/>
      <c r="C281" s="143"/>
      <c r="D281" s="60" t="s">
        <v>23</v>
      </c>
      <c r="E281" s="59">
        <v>0</v>
      </c>
      <c r="F281" s="59">
        <v>66.36</v>
      </c>
      <c r="G281" s="59">
        <f t="shared" si="27"/>
        <v>530.89</v>
      </c>
      <c r="H281" s="59">
        <f t="shared" si="27"/>
        <v>530.89</v>
      </c>
    </row>
    <row r="282" spans="1:8" x14ac:dyDescent="0.25">
      <c r="A282" s="147" t="s">
        <v>176</v>
      </c>
      <c r="B282" s="148"/>
      <c r="C282" s="149"/>
      <c r="D282" s="78" t="s">
        <v>66</v>
      </c>
      <c r="E282" s="46">
        <v>608.33000000000004</v>
      </c>
      <c r="F282" s="34">
        <v>2654.46</v>
      </c>
      <c r="G282" s="80">
        <f t="shared" si="27"/>
        <v>530.89</v>
      </c>
      <c r="H282" s="80">
        <f t="shared" si="27"/>
        <v>530.89</v>
      </c>
    </row>
    <row r="283" spans="1:8" x14ac:dyDescent="0.25">
      <c r="A283" s="144">
        <v>3299</v>
      </c>
      <c r="B283" s="145">
        <v>3299</v>
      </c>
      <c r="C283" s="146">
        <v>3299</v>
      </c>
      <c r="D283" s="28" t="s">
        <v>56</v>
      </c>
      <c r="E283" s="46">
        <v>0</v>
      </c>
      <c r="F283" s="34">
        <v>66.36</v>
      </c>
      <c r="G283" s="34">
        <v>530.89</v>
      </c>
      <c r="H283" s="34">
        <v>530.89</v>
      </c>
    </row>
    <row r="284" spans="1:8" ht="27.75" customHeight="1" x14ac:dyDescent="0.25">
      <c r="A284" s="150" t="s">
        <v>58</v>
      </c>
      <c r="B284" s="151"/>
      <c r="C284" s="152"/>
      <c r="D284" s="36" t="s">
        <v>131</v>
      </c>
      <c r="E284" s="39">
        <v>1013769.44</v>
      </c>
      <c r="F284" s="39">
        <v>988174.4</v>
      </c>
      <c r="G284" s="39">
        <f>G285</f>
        <v>1114864.29</v>
      </c>
      <c r="H284" s="39">
        <f>H285</f>
        <v>1114864.29</v>
      </c>
    </row>
    <row r="285" spans="1:8" ht="15" customHeight="1" x14ac:dyDescent="0.25">
      <c r="A285" s="153" t="s">
        <v>128</v>
      </c>
      <c r="B285" s="154"/>
      <c r="C285" s="155"/>
      <c r="D285" s="40" t="s">
        <v>129</v>
      </c>
      <c r="E285" s="40">
        <v>1013769.44</v>
      </c>
      <c r="F285" s="40">
        <v>988174.4</v>
      </c>
      <c r="G285" s="40">
        <f>G286</f>
        <v>1114864.29</v>
      </c>
      <c r="H285" s="40">
        <f>H286</f>
        <v>1114864.29</v>
      </c>
    </row>
    <row r="286" spans="1:8" x14ac:dyDescent="0.25">
      <c r="A286" s="156">
        <v>3</v>
      </c>
      <c r="B286" s="157"/>
      <c r="C286" s="158"/>
      <c r="D286" s="37" t="s">
        <v>16</v>
      </c>
      <c r="E286" s="38">
        <v>1013769.44</v>
      </c>
      <c r="F286" s="38">
        <v>988174.4</v>
      </c>
      <c r="G286" s="38">
        <f>G287+G295+G303</f>
        <v>1114864.29</v>
      </c>
      <c r="H286" s="38">
        <f>H287+H295+H303</f>
        <v>1114864.29</v>
      </c>
    </row>
    <row r="287" spans="1:8" x14ac:dyDescent="0.25">
      <c r="A287" s="141">
        <v>31</v>
      </c>
      <c r="B287" s="142"/>
      <c r="C287" s="143"/>
      <c r="D287" s="60" t="s">
        <v>17</v>
      </c>
      <c r="E287" s="59">
        <v>978681.74</v>
      </c>
      <c r="F287" s="59">
        <v>958922.29</v>
      </c>
      <c r="G287" s="59">
        <f>G288+G290+G292</f>
        <v>1066934.77</v>
      </c>
      <c r="H287" s="59">
        <f>H288+H290+H292</f>
        <v>1066934.77</v>
      </c>
    </row>
    <row r="288" spans="1:8" x14ac:dyDescent="0.25">
      <c r="A288" s="147" t="s">
        <v>172</v>
      </c>
      <c r="B288" s="148"/>
      <c r="C288" s="149"/>
      <c r="D288" s="78" t="s">
        <v>230</v>
      </c>
      <c r="E288" s="46">
        <v>608.33000000000004</v>
      </c>
      <c r="F288" s="34">
        <v>2654.46</v>
      </c>
      <c r="G288" s="80">
        <f>G289</f>
        <v>888210.24</v>
      </c>
      <c r="H288" s="80">
        <f>H289</f>
        <v>888210.24</v>
      </c>
    </row>
    <row r="289" spans="1:8" x14ac:dyDescent="0.25">
      <c r="A289" s="144" t="s">
        <v>148</v>
      </c>
      <c r="B289" s="145"/>
      <c r="C289" s="146"/>
      <c r="D289" s="31" t="s">
        <v>69</v>
      </c>
      <c r="E289" s="46">
        <v>807825.61</v>
      </c>
      <c r="F289" s="34">
        <v>796336.85</v>
      </c>
      <c r="G289" s="34">
        <v>888210.24</v>
      </c>
      <c r="H289" s="34">
        <v>888210.24</v>
      </c>
    </row>
    <row r="290" spans="1:8" x14ac:dyDescent="0.25">
      <c r="A290" s="147" t="s">
        <v>173</v>
      </c>
      <c r="B290" s="148"/>
      <c r="C290" s="149"/>
      <c r="D290" s="78" t="s">
        <v>70</v>
      </c>
      <c r="E290" s="46">
        <v>608.33000000000004</v>
      </c>
      <c r="F290" s="34">
        <v>2654.46</v>
      </c>
      <c r="G290" s="80">
        <f>G291</f>
        <v>35198.089999999997</v>
      </c>
      <c r="H290" s="80">
        <f>H291</f>
        <v>35198.089999999997</v>
      </c>
    </row>
    <row r="291" spans="1:8" x14ac:dyDescent="0.25">
      <c r="A291" s="144" t="s">
        <v>149</v>
      </c>
      <c r="B291" s="145"/>
      <c r="C291" s="146"/>
      <c r="D291" s="31" t="s">
        <v>70</v>
      </c>
      <c r="E291" s="46">
        <v>36587.589999999997</v>
      </c>
      <c r="F291" s="34">
        <v>31853.47</v>
      </c>
      <c r="G291" s="34">
        <v>35198.089999999997</v>
      </c>
      <c r="H291" s="34">
        <v>35198.089999999997</v>
      </c>
    </row>
    <row r="292" spans="1:8" x14ac:dyDescent="0.25">
      <c r="A292" s="147" t="s">
        <v>174</v>
      </c>
      <c r="B292" s="148"/>
      <c r="C292" s="149"/>
      <c r="D292" s="78" t="s">
        <v>71</v>
      </c>
      <c r="E292" s="46">
        <v>608.33000000000004</v>
      </c>
      <c r="F292" s="34">
        <v>2654.46</v>
      </c>
      <c r="G292" s="80">
        <f>G293+G294</f>
        <v>143526.44</v>
      </c>
      <c r="H292" s="80">
        <f>H293+H294</f>
        <v>143526.44</v>
      </c>
    </row>
    <row r="293" spans="1:8" s="84" customFormat="1" x14ac:dyDescent="0.25">
      <c r="A293" s="144" t="s">
        <v>150</v>
      </c>
      <c r="B293" s="145"/>
      <c r="C293" s="146"/>
      <c r="D293" s="31" t="s">
        <v>72</v>
      </c>
      <c r="E293" s="46">
        <v>134268.54</v>
      </c>
      <c r="F293" s="34">
        <v>130599.24</v>
      </c>
      <c r="G293" s="34">
        <v>143499.9</v>
      </c>
      <c r="H293" s="34">
        <v>143499.9</v>
      </c>
    </row>
    <row r="294" spans="1:8" ht="26.25" x14ac:dyDescent="0.25">
      <c r="A294" s="165" t="s">
        <v>164</v>
      </c>
      <c r="B294" s="166"/>
      <c r="C294" s="167"/>
      <c r="D294" s="81" t="s">
        <v>93</v>
      </c>
      <c r="E294" s="82">
        <v>0</v>
      </c>
      <c r="F294" s="83">
        <v>132.72</v>
      </c>
      <c r="G294" s="83">
        <v>26.54</v>
      </c>
      <c r="H294" s="83">
        <v>26.54</v>
      </c>
    </row>
    <row r="295" spans="1:8" x14ac:dyDescent="0.25">
      <c r="A295" s="141">
        <v>32</v>
      </c>
      <c r="B295" s="142"/>
      <c r="C295" s="143"/>
      <c r="D295" s="60" t="s">
        <v>23</v>
      </c>
      <c r="E295" s="59">
        <v>35087.699999999997</v>
      </c>
      <c r="F295" s="59">
        <v>29252.11</v>
      </c>
      <c r="G295" s="59">
        <f>G296+G298+G300</f>
        <v>47796.800000000003</v>
      </c>
      <c r="H295" s="59">
        <f>H296+H298+H300</f>
        <v>47796.800000000003</v>
      </c>
    </row>
    <row r="296" spans="1:8" x14ac:dyDescent="0.25">
      <c r="A296" s="147" t="s">
        <v>175</v>
      </c>
      <c r="B296" s="148"/>
      <c r="C296" s="149"/>
      <c r="D296" s="78" t="s">
        <v>73</v>
      </c>
      <c r="E296" s="46">
        <v>608.33000000000004</v>
      </c>
      <c r="F296" s="34">
        <v>2654.46</v>
      </c>
      <c r="G296" s="80">
        <f>G297</f>
        <v>44170.15</v>
      </c>
      <c r="H296" s="80">
        <f>H297</f>
        <v>44170.15</v>
      </c>
    </row>
    <row r="297" spans="1:8" x14ac:dyDescent="0.25">
      <c r="A297" s="144" t="s">
        <v>152</v>
      </c>
      <c r="B297" s="145"/>
      <c r="C297" s="146"/>
      <c r="D297" s="31" t="s">
        <v>74</v>
      </c>
      <c r="E297" s="46">
        <v>22081.26</v>
      </c>
      <c r="F297" s="34">
        <v>26544.560000000001</v>
      </c>
      <c r="G297" s="34">
        <v>44170.15</v>
      </c>
      <c r="H297" s="34">
        <v>44170.15</v>
      </c>
    </row>
    <row r="298" spans="1:8" x14ac:dyDescent="0.25">
      <c r="A298" s="147" t="s">
        <v>185</v>
      </c>
      <c r="B298" s="148"/>
      <c r="C298" s="149"/>
      <c r="D298" s="78" t="s">
        <v>61</v>
      </c>
      <c r="E298" s="46">
        <v>608.33000000000004</v>
      </c>
      <c r="F298" s="34">
        <v>2654.46</v>
      </c>
      <c r="G298" s="80">
        <f>G299</f>
        <v>132.72</v>
      </c>
      <c r="H298" s="80">
        <f>H299</f>
        <v>132.72</v>
      </c>
    </row>
    <row r="299" spans="1:8" x14ac:dyDescent="0.25">
      <c r="A299" s="144" t="s">
        <v>163</v>
      </c>
      <c r="B299" s="145"/>
      <c r="C299" s="146"/>
      <c r="D299" s="33" t="s">
        <v>162</v>
      </c>
      <c r="E299" s="46">
        <v>444.62</v>
      </c>
      <c r="F299" s="34"/>
      <c r="G299" s="34">
        <v>132.72</v>
      </c>
      <c r="H299" s="34">
        <v>132.72</v>
      </c>
    </row>
    <row r="300" spans="1:8" x14ac:dyDescent="0.25">
      <c r="A300" s="147" t="s">
        <v>176</v>
      </c>
      <c r="B300" s="148"/>
      <c r="C300" s="149"/>
      <c r="D300" s="78" t="s">
        <v>66</v>
      </c>
      <c r="E300" s="46">
        <v>608.33000000000004</v>
      </c>
      <c r="F300" s="34">
        <v>2654.46</v>
      </c>
      <c r="G300" s="80">
        <f>G301+G302</f>
        <v>3493.93</v>
      </c>
      <c r="H300" s="80">
        <f>H301+H302</f>
        <v>3493.93</v>
      </c>
    </row>
    <row r="301" spans="1:8" x14ac:dyDescent="0.25">
      <c r="A301" s="144" t="s">
        <v>165</v>
      </c>
      <c r="B301" s="145"/>
      <c r="C301" s="146"/>
      <c r="D301" s="31" t="s">
        <v>94</v>
      </c>
      <c r="E301" s="46">
        <v>2697.59</v>
      </c>
      <c r="F301" s="34">
        <v>2707.55</v>
      </c>
      <c r="G301" s="34">
        <v>2963.04</v>
      </c>
      <c r="H301" s="34">
        <v>2963.04</v>
      </c>
    </row>
    <row r="302" spans="1:8" x14ac:dyDescent="0.25">
      <c r="A302" s="61" t="s">
        <v>166</v>
      </c>
      <c r="B302" s="62"/>
      <c r="C302" s="63"/>
      <c r="D302" s="31" t="s">
        <v>95</v>
      </c>
      <c r="E302" s="46">
        <v>9864.2199999999993</v>
      </c>
      <c r="F302" s="34"/>
      <c r="G302" s="34">
        <v>530.89</v>
      </c>
      <c r="H302" s="34">
        <v>530.89</v>
      </c>
    </row>
    <row r="303" spans="1:8" x14ac:dyDescent="0.25">
      <c r="A303" s="141">
        <v>34</v>
      </c>
      <c r="B303" s="142"/>
      <c r="C303" s="143"/>
      <c r="D303" s="60" t="s">
        <v>82</v>
      </c>
      <c r="E303" s="59">
        <v>0</v>
      </c>
      <c r="F303" s="59">
        <v>0</v>
      </c>
      <c r="G303" s="59">
        <f>G304</f>
        <v>132.72</v>
      </c>
      <c r="H303" s="59">
        <f>H304</f>
        <v>132.72</v>
      </c>
    </row>
    <row r="304" spans="1:8" x14ac:dyDescent="0.25">
      <c r="A304" s="147" t="s">
        <v>190</v>
      </c>
      <c r="B304" s="148"/>
      <c r="C304" s="149"/>
      <c r="D304" s="78" t="s">
        <v>96</v>
      </c>
      <c r="E304" s="46">
        <v>608.33000000000004</v>
      </c>
      <c r="F304" s="34">
        <v>2654.46</v>
      </c>
      <c r="G304" s="80">
        <f>G305</f>
        <v>132.72</v>
      </c>
      <c r="H304" s="80">
        <f>H305</f>
        <v>132.72</v>
      </c>
    </row>
    <row r="305" spans="1:8" x14ac:dyDescent="0.25">
      <c r="A305" s="65" t="s">
        <v>156</v>
      </c>
      <c r="B305" s="66"/>
      <c r="C305" s="67"/>
      <c r="D305" s="31" t="s">
        <v>84</v>
      </c>
      <c r="E305" s="46">
        <v>0</v>
      </c>
      <c r="F305" s="34"/>
      <c r="G305" s="34">
        <v>132.72</v>
      </c>
      <c r="H305" s="34">
        <v>132.72</v>
      </c>
    </row>
    <row r="306" spans="1:8" ht="21" customHeight="1" x14ac:dyDescent="0.25">
      <c r="A306" s="150" t="s">
        <v>64</v>
      </c>
      <c r="B306" s="151"/>
      <c r="C306" s="152"/>
      <c r="D306" s="36" t="s">
        <v>132</v>
      </c>
      <c r="E306" s="39">
        <v>39827.949999999997</v>
      </c>
      <c r="F306" s="39">
        <v>49470.57</v>
      </c>
      <c r="G306" s="39">
        <f>G307+G316+G324+G339</f>
        <v>64461.08</v>
      </c>
      <c r="H306" s="39">
        <f>H307+H316+H324+H339</f>
        <v>64461.08</v>
      </c>
    </row>
    <row r="307" spans="1:8" ht="15" customHeight="1" x14ac:dyDescent="0.25">
      <c r="A307" s="153" t="s">
        <v>124</v>
      </c>
      <c r="B307" s="154"/>
      <c r="C307" s="155"/>
      <c r="D307" s="40" t="s">
        <v>125</v>
      </c>
      <c r="E307" s="40">
        <v>0</v>
      </c>
      <c r="F307" s="40">
        <v>0</v>
      </c>
      <c r="G307" s="40">
        <f>G308+G312</f>
        <v>2654.46</v>
      </c>
      <c r="H307" s="40">
        <f>H308+H312</f>
        <v>2654.46</v>
      </c>
    </row>
    <row r="308" spans="1:8" x14ac:dyDescent="0.25">
      <c r="A308" s="156">
        <v>3</v>
      </c>
      <c r="B308" s="157"/>
      <c r="C308" s="158"/>
      <c r="D308" s="37" t="s">
        <v>16</v>
      </c>
      <c r="E308" s="38">
        <v>0</v>
      </c>
      <c r="F308" s="38">
        <v>0</v>
      </c>
      <c r="G308" s="38">
        <f t="shared" ref="G308:H310" si="28">G309</f>
        <v>1327.23</v>
      </c>
      <c r="H308" s="38">
        <f t="shared" si="28"/>
        <v>1327.23</v>
      </c>
    </row>
    <row r="309" spans="1:8" x14ac:dyDescent="0.25">
      <c r="A309" s="141">
        <v>32</v>
      </c>
      <c r="B309" s="142"/>
      <c r="C309" s="143"/>
      <c r="D309" s="60" t="s">
        <v>23</v>
      </c>
      <c r="E309" s="59">
        <v>0</v>
      </c>
      <c r="F309" s="59">
        <v>0</v>
      </c>
      <c r="G309" s="59">
        <f t="shared" si="28"/>
        <v>1327.23</v>
      </c>
      <c r="H309" s="59">
        <f t="shared" si="28"/>
        <v>1327.23</v>
      </c>
    </row>
    <row r="310" spans="1:8" x14ac:dyDescent="0.25">
      <c r="A310" s="147" t="s">
        <v>185</v>
      </c>
      <c r="B310" s="148"/>
      <c r="C310" s="149"/>
      <c r="D310" s="78" t="s">
        <v>61</v>
      </c>
      <c r="E310" s="46">
        <v>608.33000000000004</v>
      </c>
      <c r="F310" s="34">
        <v>2654.46</v>
      </c>
      <c r="G310" s="80">
        <f t="shared" si="28"/>
        <v>1327.23</v>
      </c>
      <c r="H310" s="80">
        <f t="shared" si="28"/>
        <v>1327.23</v>
      </c>
    </row>
    <row r="311" spans="1:8" ht="15.75" customHeight="1" x14ac:dyDescent="0.25">
      <c r="A311" s="144" t="s">
        <v>155</v>
      </c>
      <c r="B311" s="145"/>
      <c r="C311" s="146"/>
      <c r="D311" s="31" t="s">
        <v>62</v>
      </c>
      <c r="E311" s="46"/>
      <c r="F311" s="34"/>
      <c r="G311" s="34">
        <v>1327.23</v>
      </c>
      <c r="H311" s="34">
        <v>1327.23</v>
      </c>
    </row>
    <row r="312" spans="1:8" ht="25.5" x14ac:dyDescent="0.25">
      <c r="A312" s="156">
        <v>4</v>
      </c>
      <c r="B312" s="157"/>
      <c r="C312" s="158"/>
      <c r="D312" s="37" t="s">
        <v>18</v>
      </c>
      <c r="E312" s="38">
        <v>0</v>
      </c>
      <c r="F312" s="38">
        <v>0</v>
      </c>
      <c r="G312" s="38">
        <v>1327.23</v>
      </c>
      <c r="H312" s="38">
        <v>1327.23</v>
      </c>
    </row>
    <row r="313" spans="1:8" ht="25.5" x14ac:dyDescent="0.25">
      <c r="A313" s="141">
        <v>42</v>
      </c>
      <c r="B313" s="142"/>
      <c r="C313" s="143"/>
      <c r="D313" s="60" t="s">
        <v>87</v>
      </c>
      <c r="E313" s="59">
        <v>0</v>
      </c>
      <c r="F313" s="59">
        <v>0</v>
      </c>
      <c r="G313" s="59">
        <f>G314</f>
        <v>1327.23</v>
      </c>
      <c r="H313" s="59">
        <f>H314</f>
        <v>1327.23</v>
      </c>
    </row>
    <row r="314" spans="1:8" x14ac:dyDescent="0.25">
      <c r="A314" s="147" t="s">
        <v>202</v>
      </c>
      <c r="B314" s="148"/>
      <c r="C314" s="149"/>
      <c r="D314" s="78" t="s">
        <v>88</v>
      </c>
      <c r="E314" s="46">
        <v>608.33000000000004</v>
      </c>
      <c r="F314" s="34">
        <v>2654.46</v>
      </c>
      <c r="G314" s="80">
        <f>G315</f>
        <v>1327.23</v>
      </c>
      <c r="H314" s="80">
        <f>H315</f>
        <v>1327.23</v>
      </c>
    </row>
    <row r="315" spans="1:8" ht="26.25" x14ac:dyDescent="0.25">
      <c r="A315" s="61" t="s">
        <v>159</v>
      </c>
      <c r="B315" s="62"/>
      <c r="C315" s="63"/>
      <c r="D315" s="31" t="s">
        <v>98</v>
      </c>
      <c r="E315" s="46"/>
      <c r="F315" s="34"/>
      <c r="G315" s="34">
        <v>1327.23</v>
      </c>
      <c r="H315" s="34">
        <v>1327.23</v>
      </c>
    </row>
    <row r="316" spans="1:8" ht="15" customHeight="1" x14ac:dyDescent="0.25">
      <c r="A316" s="153" t="s">
        <v>126</v>
      </c>
      <c r="B316" s="154"/>
      <c r="C316" s="155"/>
      <c r="D316" s="40" t="s">
        <v>127</v>
      </c>
      <c r="E316" s="40">
        <v>24220.29</v>
      </c>
      <c r="F316" s="40">
        <v>24553.72</v>
      </c>
      <c r="G316" s="40">
        <f>G317</f>
        <v>28601.77</v>
      </c>
      <c r="H316" s="40">
        <f>H317</f>
        <v>28601.77</v>
      </c>
    </row>
    <row r="317" spans="1:8" x14ac:dyDescent="0.25">
      <c r="A317" s="156">
        <v>3</v>
      </c>
      <c r="B317" s="157"/>
      <c r="C317" s="158"/>
      <c r="D317" s="37" t="s">
        <v>16</v>
      </c>
      <c r="E317" s="38">
        <v>24220.29</v>
      </c>
      <c r="F317" s="38">
        <v>24553.72</v>
      </c>
      <c r="G317" s="38">
        <f>G318</f>
        <v>28601.77</v>
      </c>
      <c r="H317" s="38">
        <f>H318</f>
        <v>28601.77</v>
      </c>
    </row>
    <row r="318" spans="1:8" x14ac:dyDescent="0.25">
      <c r="A318" s="141">
        <v>32</v>
      </c>
      <c r="B318" s="142"/>
      <c r="C318" s="143"/>
      <c r="D318" s="60" t="s">
        <v>23</v>
      </c>
      <c r="E318" s="59">
        <v>24220.29</v>
      </c>
      <c r="F318" s="59">
        <v>24553.72</v>
      </c>
      <c r="G318" s="59">
        <f>G319+G322</f>
        <v>28601.77</v>
      </c>
      <c r="H318" s="59">
        <f>H319+H322</f>
        <v>28601.77</v>
      </c>
    </row>
    <row r="319" spans="1:8" x14ac:dyDescent="0.25">
      <c r="A319" s="147" t="s">
        <v>181</v>
      </c>
      <c r="B319" s="148"/>
      <c r="C319" s="149"/>
      <c r="D319" s="78" t="s">
        <v>59</v>
      </c>
      <c r="E319" s="46">
        <v>608.33000000000004</v>
      </c>
      <c r="F319" s="34">
        <v>2654.46</v>
      </c>
      <c r="G319" s="80">
        <f>SUM(G320:G321)</f>
        <v>28601.77</v>
      </c>
      <c r="H319" s="80">
        <f>SUM(H320:H321)</f>
        <v>28601.77</v>
      </c>
    </row>
    <row r="320" spans="1:8" x14ac:dyDescent="0.25">
      <c r="A320" s="144" t="s">
        <v>167</v>
      </c>
      <c r="B320" s="145"/>
      <c r="C320" s="146"/>
      <c r="D320" s="31" t="s">
        <v>41</v>
      </c>
      <c r="E320" s="46">
        <v>288.70999999999998</v>
      </c>
      <c r="F320" s="34">
        <v>663.61</v>
      </c>
      <c r="G320" s="34">
        <v>530.9</v>
      </c>
      <c r="H320" s="34">
        <v>530.9</v>
      </c>
    </row>
    <row r="321" spans="1:8" x14ac:dyDescent="0.25">
      <c r="A321" s="61" t="s">
        <v>168</v>
      </c>
      <c r="B321" s="62"/>
      <c r="C321" s="63"/>
      <c r="D321" s="31" t="s">
        <v>97</v>
      </c>
      <c r="E321" s="46">
        <v>22084.080000000002</v>
      </c>
      <c r="F321" s="34">
        <v>23890.11</v>
      </c>
      <c r="G321" s="34">
        <v>28070.87</v>
      </c>
      <c r="H321" s="34">
        <v>28070.87</v>
      </c>
    </row>
    <row r="322" spans="1:8" x14ac:dyDescent="0.25">
      <c r="A322" s="147" t="s">
        <v>176</v>
      </c>
      <c r="B322" s="148"/>
      <c r="C322" s="149"/>
      <c r="D322" s="78" t="s">
        <v>56</v>
      </c>
      <c r="E322" s="46">
        <v>608.33000000000004</v>
      </c>
      <c r="F322" s="34">
        <v>2654.46</v>
      </c>
      <c r="G322" s="80">
        <f>G323</f>
        <v>0</v>
      </c>
      <c r="H322" s="80">
        <f>H323</f>
        <v>0</v>
      </c>
    </row>
    <row r="323" spans="1:8" x14ac:dyDescent="0.25">
      <c r="A323" s="144" t="s">
        <v>161</v>
      </c>
      <c r="B323" s="145"/>
      <c r="C323" s="146"/>
      <c r="D323" s="31" t="s">
        <v>214</v>
      </c>
      <c r="E323" s="46">
        <v>1847.5</v>
      </c>
      <c r="F323" s="34"/>
      <c r="G323" s="34"/>
      <c r="H323" s="34"/>
    </row>
    <row r="324" spans="1:8" ht="15" customHeight="1" x14ac:dyDescent="0.25">
      <c r="A324" s="153" t="s">
        <v>128</v>
      </c>
      <c r="B324" s="154"/>
      <c r="C324" s="155"/>
      <c r="D324" s="40" t="s">
        <v>129</v>
      </c>
      <c r="E324" s="40">
        <v>15607.66</v>
      </c>
      <c r="F324" s="40">
        <v>24916.85</v>
      </c>
      <c r="G324" s="40">
        <f>G325+G335</f>
        <v>32342.16</v>
      </c>
      <c r="H324" s="40">
        <f>H325+H335</f>
        <v>32342.16</v>
      </c>
    </row>
    <row r="325" spans="1:8" x14ac:dyDescent="0.25">
      <c r="A325" s="156">
        <v>3</v>
      </c>
      <c r="B325" s="157"/>
      <c r="C325" s="158"/>
      <c r="D325" s="37" t="s">
        <v>16</v>
      </c>
      <c r="E325" s="38">
        <v>15607.66</v>
      </c>
      <c r="F325" s="38">
        <v>23589.62</v>
      </c>
      <c r="G325" s="38">
        <f>G326</f>
        <v>31014.93</v>
      </c>
      <c r="H325" s="38">
        <f>H326</f>
        <v>31014.93</v>
      </c>
    </row>
    <row r="326" spans="1:8" x14ac:dyDescent="0.25">
      <c r="A326" s="141">
        <v>32</v>
      </c>
      <c r="B326" s="142"/>
      <c r="C326" s="143"/>
      <c r="D326" s="60" t="s">
        <v>23</v>
      </c>
      <c r="E326" s="59">
        <v>15607.66</v>
      </c>
      <c r="F326" s="59">
        <v>23589.62</v>
      </c>
      <c r="G326" s="59">
        <f>G327+G332</f>
        <v>31014.93</v>
      </c>
      <c r="H326" s="59">
        <f>H327+H332</f>
        <v>31014.93</v>
      </c>
    </row>
    <row r="327" spans="1:8" x14ac:dyDescent="0.25">
      <c r="A327" s="147" t="s">
        <v>181</v>
      </c>
      <c r="B327" s="148"/>
      <c r="C327" s="149"/>
      <c r="D327" s="78" t="s">
        <v>59</v>
      </c>
      <c r="E327" s="46">
        <v>608.33000000000004</v>
      </c>
      <c r="F327" s="34">
        <v>2654.46</v>
      </c>
      <c r="G327" s="80">
        <f>SUM(G328:G331)</f>
        <v>29554.98</v>
      </c>
      <c r="H327" s="80">
        <f>SUM(H328:H331)</f>
        <v>29554.98</v>
      </c>
    </row>
    <row r="328" spans="1:8" x14ac:dyDescent="0.25">
      <c r="A328" s="144" t="s">
        <v>167</v>
      </c>
      <c r="B328" s="145"/>
      <c r="C328" s="146"/>
      <c r="D328" s="31" t="s">
        <v>41</v>
      </c>
      <c r="E328" s="46"/>
      <c r="F328" s="34">
        <v>398.17</v>
      </c>
      <c r="G328" s="34">
        <v>398.17</v>
      </c>
      <c r="H328" s="34">
        <v>398.17</v>
      </c>
    </row>
    <row r="329" spans="1:8" x14ac:dyDescent="0.25">
      <c r="A329" s="61" t="s">
        <v>168</v>
      </c>
      <c r="B329" s="62"/>
      <c r="C329" s="63"/>
      <c r="D329" s="31" t="s">
        <v>97</v>
      </c>
      <c r="E329" s="46">
        <v>15607.66</v>
      </c>
      <c r="F329" s="34">
        <v>21598.78</v>
      </c>
      <c r="G329" s="34">
        <v>28891.37</v>
      </c>
      <c r="H329" s="34">
        <v>28891.37</v>
      </c>
    </row>
    <row r="330" spans="1:8" x14ac:dyDescent="0.25">
      <c r="A330" s="144" t="s">
        <v>154</v>
      </c>
      <c r="B330" s="145"/>
      <c r="C330" s="146"/>
      <c r="D330" s="31" t="s">
        <v>60</v>
      </c>
      <c r="E330" s="46"/>
      <c r="F330" s="34">
        <v>132.72</v>
      </c>
      <c r="G330" s="34">
        <v>132.72</v>
      </c>
      <c r="H330" s="34">
        <v>132.72</v>
      </c>
    </row>
    <row r="331" spans="1:8" x14ac:dyDescent="0.25">
      <c r="A331" s="144" t="s">
        <v>169</v>
      </c>
      <c r="B331" s="145"/>
      <c r="C331" s="146"/>
      <c r="D331" s="31" t="s">
        <v>43</v>
      </c>
      <c r="E331" s="46"/>
      <c r="F331" s="34">
        <v>132.72</v>
      </c>
      <c r="G331" s="34">
        <v>132.72</v>
      </c>
      <c r="H331" s="34">
        <v>132.72</v>
      </c>
    </row>
    <row r="332" spans="1:8" x14ac:dyDescent="0.25">
      <c r="A332" s="147" t="s">
        <v>185</v>
      </c>
      <c r="B332" s="148"/>
      <c r="C332" s="149"/>
      <c r="D332" s="78" t="s">
        <v>61</v>
      </c>
      <c r="E332" s="46">
        <v>608.33000000000004</v>
      </c>
      <c r="F332" s="34">
        <v>2654.46</v>
      </c>
      <c r="G332" s="80">
        <f>SUM(G333:G334)</f>
        <v>1459.95</v>
      </c>
      <c r="H332" s="80">
        <f>SUM(H333:H334)</f>
        <v>1459.95</v>
      </c>
    </row>
    <row r="333" spans="1:8" x14ac:dyDescent="0.25">
      <c r="A333" s="144" t="s">
        <v>155</v>
      </c>
      <c r="B333" s="145"/>
      <c r="C333" s="146"/>
      <c r="D333" s="31" t="s">
        <v>62</v>
      </c>
      <c r="E333" s="46"/>
      <c r="F333" s="34">
        <v>1327.23</v>
      </c>
      <c r="G333" s="34">
        <v>1327.23</v>
      </c>
      <c r="H333" s="34">
        <v>1327.23</v>
      </c>
    </row>
    <row r="334" spans="1:8" x14ac:dyDescent="0.25">
      <c r="A334" s="144" t="s">
        <v>163</v>
      </c>
      <c r="B334" s="145"/>
      <c r="C334" s="146"/>
      <c r="D334" s="33" t="s">
        <v>171</v>
      </c>
      <c r="E334" s="46"/>
      <c r="F334" s="34"/>
      <c r="G334" s="34">
        <v>132.72</v>
      </c>
      <c r="H334" s="34">
        <v>132.72</v>
      </c>
    </row>
    <row r="335" spans="1:8" ht="25.5" x14ac:dyDescent="0.25">
      <c r="A335" s="156">
        <v>4</v>
      </c>
      <c r="B335" s="157"/>
      <c r="C335" s="158"/>
      <c r="D335" s="37" t="s">
        <v>18</v>
      </c>
      <c r="E335" s="38">
        <v>0</v>
      </c>
      <c r="F335" s="38">
        <v>1327.23</v>
      </c>
      <c r="G335" s="38">
        <f t="shared" ref="G335:H337" si="29">G336</f>
        <v>1327.23</v>
      </c>
      <c r="H335" s="38">
        <f t="shared" si="29"/>
        <v>1327.23</v>
      </c>
    </row>
    <row r="336" spans="1:8" ht="25.5" x14ac:dyDescent="0.25">
      <c r="A336" s="141">
        <v>42</v>
      </c>
      <c r="B336" s="142"/>
      <c r="C336" s="143"/>
      <c r="D336" s="60" t="s">
        <v>87</v>
      </c>
      <c r="E336" s="59">
        <v>0</v>
      </c>
      <c r="F336" s="59">
        <v>1327.23</v>
      </c>
      <c r="G336" s="59">
        <f t="shared" si="29"/>
        <v>1327.23</v>
      </c>
      <c r="H336" s="59">
        <f t="shared" si="29"/>
        <v>1327.23</v>
      </c>
    </row>
    <row r="337" spans="1:13" x14ac:dyDescent="0.25">
      <c r="A337" s="147" t="s">
        <v>202</v>
      </c>
      <c r="B337" s="148"/>
      <c r="C337" s="149"/>
      <c r="D337" s="78" t="s">
        <v>88</v>
      </c>
      <c r="E337" s="46">
        <v>608.33000000000004</v>
      </c>
      <c r="F337" s="34">
        <v>2654.46</v>
      </c>
      <c r="G337" s="80">
        <f t="shared" si="29"/>
        <v>1327.23</v>
      </c>
      <c r="H337" s="80">
        <f t="shared" si="29"/>
        <v>1327.23</v>
      </c>
    </row>
    <row r="338" spans="1:13" ht="26.25" x14ac:dyDescent="0.25">
      <c r="A338" s="61" t="s">
        <v>159</v>
      </c>
      <c r="B338" s="62"/>
      <c r="C338" s="63"/>
      <c r="D338" s="31" t="s">
        <v>98</v>
      </c>
      <c r="E338" s="46"/>
      <c r="F338" s="34">
        <v>1327.23</v>
      </c>
      <c r="G338" s="34">
        <v>1327.23</v>
      </c>
      <c r="H338" s="34">
        <v>1327.23</v>
      </c>
    </row>
    <row r="339" spans="1:13" ht="15" customHeight="1" x14ac:dyDescent="0.25">
      <c r="A339" s="153" t="s">
        <v>170</v>
      </c>
      <c r="B339" s="154"/>
      <c r="C339" s="155"/>
      <c r="D339" s="40" t="s">
        <v>143</v>
      </c>
      <c r="E339" s="40">
        <v>0</v>
      </c>
      <c r="F339" s="40">
        <v>0</v>
      </c>
      <c r="G339" s="40">
        <f>G340</f>
        <v>862.69</v>
      </c>
      <c r="H339" s="40">
        <f>H340</f>
        <v>862.69</v>
      </c>
    </row>
    <row r="340" spans="1:13" x14ac:dyDescent="0.25">
      <c r="A340" s="156">
        <v>3</v>
      </c>
      <c r="B340" s="157"/>
      <c r="C340" s="158"/>
      <c r="D340" s="47" t="s">
        <v>16</v>
      </c>
      <c r="E340" s="38">
        <v>0</v>
      </c>
      <c r="F340" s="38">
        <v>0</v>
      </c>
      <c r="G340" s="38">
        <f>G341</f>
        <v>862.69</v>
      </c>
      <c r="H340" s="38">
        <f>H341</f>
        <v>862.69</v>
      </c>
    </row>
    <row r="341" spans="1:13" x14ac:dyDescent="0.25">
      <c r="A341" s="141">
        <v>32</v>
      </c>
      <c r="B341" s="142"/>
      <c r="C341" s="143"/>
      <c r="D341" s="60" t="s">
        <v>23</v>
      </c>
      <c r="E341" s="59">
        <v>0</v>
      </c>
      <c r="F341" s="59">
        <v>0</v>
      </c>
      <c r="G341" s="59">
        <f>G342+G345</f>
        <v>862.69</v>
      </c>
      <c r="H341" s="59">
        <f>H342+H345</f>
        <v>862.69</v>
      </c>
    </row>
    <row r="342" spans="1:13" x14ac:dyDescent="0.25">
      <c r="A342" s="147" t="s">
        <v>181</v>
      </c>
      <c r="B342" s="148"/>
      <c r="C342" s="149"/>
      <c r="D342" s="78" t="s">
        <v>59</v>
      </c>
      <c r="E342" s="46">
        <v>608.33000000000004</v>
      </c>
      <c r="F342" s="34">
        <v>2654.46</v>
      </c>
      <c r="G342" s="80">
        <f>G343+G344</f>
        <v>729.97</v>
      </c>
      <c r="H342" s="80">
        <f>H343+H344</f>
        <v>729.97</v>
      </c>
    </row>
    <row r="343" spans="1:13" x14ac:dyDescent="0.25">
      <c r="A343" s="61" t="s">
        <v>168</v>
      </c>
      <c r="B343" s="62"/>
      <c r="C343" s="63"/>
      <c r="D343" s="31" t="s">
        <v>97</v>
      </c>
      <c r="E343" s="46"/>
      <c r="F343" s="34"/>
      <c r="G343" s="34">
        <v>663.61</v>
      </c>
      <c r="H343" s="34">
        <v>663.61</v>
      </c>
    </row>
    <row r="344" spans="1:13" x14ac:dyDescent="0.25">
      <c r="A344" s="144" t="s">
        <v>169</v>
      </c>
      <c r="B344" s="145"/>
      <c r="C344" s="146"/>
      <c r="D344" s="31" t="s">
        <v>43</v>
      </c>
      <c r="E344" s="46"/>
      <c r="F344" s="34"/>
      <c r="G344" s="34">
        <v>66.36</v>
      </c>
      <c r="H344" s="34">
        <v>66.36</v>
      </c>
    </row>
    <row r="345" spans="1:13" x14ac:dyDescent="0.25">
      <c r="A345" s="147" t="s">
        <v>185</v>
      </c>
      <c r="B345" s="148"/>
      <c r="C345" s="149"/>
      <c r="D345" s="78" t="s">
        <v>61</v>
      </c>
      <c r="E345" s="46">
        <v>608.33000000000004</v>
      </c>
      <c r="F345" s="34">
        <v>2654.46</v>
      </c>
      <c r="G345" s="80">
        <f>G346</f>
        <v>132.72</v>
      </c>
      <c r="H345" s="80">
        <f>H346</f>
        <v>132.72</v>
      </c>
    </row>
    <row r="346" spans="1:13" x14ac:dyDescent="0.25">
      <c r="A346" s="144" t="s">
        <v>155</v>
      </c>
      <c r="B346" s="145"/>
      <c r="C346" s="146"/>
      <c r="D346" s="31" t="s">
        <v>62</v>
      </c>
      <c r="E346" s="46"/>
      <c r="F346" s="34"/>
      <c r="G346" s="34">
        <v>132.72</v>
      </c>
      <c r="H346" s="34">
        <v>132.72</v>
      </c>
    </row>
    <row r="347" spans="1:13" ht="21" customHeight="1" x14ac:dyDescent="0.25">
      <c r="A347" s="150" t="s">
        <v>99</v>
      </c>
      <c r="B347" s="151"/>
      <c r="C347" s="152"/>
      <c r="D347" s="36" t="s">
        <v>133</v>
      </c>
      <c r="E347" s="39">
        <v>0</v>
      </c>
      <c r="F347" s="39">
        <v>32158.74</v>
      </c>
      <c r="G347" s="39">
        <f>G348+G353</f>
        <v>26235.040000000001</v>
      </c>
      <c r="H347" s="39">
        <f>H348+H353</f>
        <v>26235.040000000001</v>
      </c>
    </row>
    <row r="348" spans="1:13" ht="15" customHeight="1" x14ac:dyDescent="0.25">
      <c r="A348" s="153" t="s">
        <v>124</v>
      </c>
      <c r="B348" s="154"/>
      <c r="C348" s="155"/>
      <c r="D348" s="40" t="s">
        <v>125</v>
      </c>
      <c r="E348" s="40">
        <v>0</v>
      </c>
      <c r="F348" s="40">
        <v>39.82</v>
      </c>
      <c r="G348" s="40">
        <f t="shared" ref="G348:H351" si="30">G349</f>
        <v>106.18</v>
      </c>
      <c r="H348" s="40">
        <f t="shared" si="30"/>
        <v>106.18</v>
      </c>
      <c r="M348" s="45"/>
    </row>
    <row r="349" spans="1:13" x14ac:dyDescent="0.25">
      <c r="A349" s="156">
        <v>3</v>
      </c>
      <c r="B349" s="157"/>
      <c r="C349" s="158"/>
      <c r="D349" s="37" t="s">
        <v>16</v>
      </c>
      <c r="E349" s="38">
        <v>0</v>
      </c>
      <c r="F349" s="38">
        <v>39.82</v>
      </c>
      <c r="G349" s="38">
        <f t="shared" si="30"/>
        <v>106.18</v>
      </c>
      <c r="H349" s="38">
        <f t="shared" si="30"/>
        <v>106.18</v>
      </c>
    </row>
    <row r="350" spans="1:13" x14ac:dyDescent="0.25">
      <c r="A350" s="141">
        <v>32</v>
      </c>
      <c r="B350" s="142"/>
      <c r="C350" s="143"/>
      <c r="D350" s="60" t="s">
        <v>23</v>
      </c>
      <c r="E350" s="59">
        <v>0</v>
      </c>
      <c r="F350" s="59">
        <v>39.82</v>
      </c>
      <c r="G350" s="59">
        <f t="shared" si="30"/>
        <v>106.18</v>
      </c>
      <c r="H350" s="59">
        <f t="shared" si="30"/>
        <v>106.18</v>
      </c>
    </row>
    <row r="351" spans="1:13" x14ac:dyDescent="0.25">
      <c r="A351" s="147" t="s">
        <v>181</v>
      </c>
      <c r="B351" s="148"/>
      <c r="C351" s="149"/>
      <c r="D351" s="78" t="s">
        <v>59</v>
      </c>
      <c r="E351" s="46">
        <v>608.33000000000004</v>
      </c>
      <c r="F351" s="34">
        <v>2654.46</v>
      </c>
      <c r="G351" s="80">
        <f t="shared" si="30"/>
        <v>106.18</v>
      </c>
      <c r="H351" s="80">
        <f t="shared" si="30"/>
        <v>106.18</v>
      </c>
    </row>
    <row r="352" spans="1:13" x14ac:dyDescent="0.25">
      <c r="A352" s="144" t="s">
        <v>167</v>
      </c>
      <c r="B352" s="145"/>
      <c r="C352" s="146"/>
      <c r="D352" s="31" t="s">
        <v>100</v>
      </c>
      <c r="E352" s="46"/>
      <c r="F352" s="34">
        <v>39.82</v>
      </c>
      <c r="G352" s="34">
        <v>106.18</v>
      </c>
      <c r="H352" s="34">
        <v>106.18</v>
      </c>
    </row>
    <row r="353" spans="1:8" ht="15" customHeight="1" x14ac:dyDescent="0.25">
      <c r="A353" s="153" t="s">
        <v>128</v>
      </c>
      <c r="B353" s="154"/>
      <c r="C353" s="155"/>
      <c r="D353" s="40" t="s">
        <v>129</v>
      </c>
      <c r="E353" s="40">
        <v>0</v>
      </c>
      <c r="F353" s="40">
        <v>32118.92</v>
      </c>
      <c r="G353" s="40">
        <f>G354+G359</f>
        <v>26128.86</v>
      </c>
      <c r="H353" s="40">
        <f>H354+H359</f>
        <v>26128.86</v>
      </c>
    </row>
    <row r="354" spans="1:8" x14ac:dyDescent="0.25">
      <c r="A354" s="156">
        <v>3</v>
      </c>
      <c r="B354" s="157"/>
      <c r="C354" s="158"/>
      <c r="D354" s="37" t="s">
        <v>16</v>
      </c>
      <c r="E354" s="38">
        <v>0</v>
      </c>
      <c r="F354" s="38">
        <v>23691.02</v>
      </c>
      <c r="G354" s="38">
        <f t="shared" ref="G354:H356" si="31">G355</f>
        <v>24991.98</v>
      </c>
      <c r="H354" s="38">
        <f t="shared" si="31"/>
        <v>24991.98</v>
      </c>
    </row>
    <row r="355" spans="1:8" x14ac:dyDescent="0.25">
      <c r="A355" s="141">
        <v>32</v>
      </c>
      <c r="B355" s="142"/>
      <c r="C355" s="143"/>
      <c r="D355" s="60" t="s">
        <v>23</v>
      </c>
      <c r="E355" s="59">
        <v>0</v>
      </c>
      <c r="F355" s="59">
        <v>23691.02</v>
      </c>
      <c r="G355" s="59">
        <f t="shared" si="31"/>
        <v>24991.98</v>
      </c>
      <c r="H355" s="59">
        <f t="shared" si="31"/>
        <v>24991.98</v>
      </c>
    </row>
    <row r="356" spans="1:8" x14ac:dyDescent="0.25">
      <c r="A356" s="147" t="s">
        <v>181</v>
      </c>
      <c r="B356" s="148"/>
      <c r="C356" s="149"/>
      <c r="D356" s="78" t="s">
        <v>59</v>
      </c>
      <c r="E356" s="46">
        <v>608.33000000000004</v>
      </c>
      <c r="F356" s="34">
        <v>2654.46</v>
      </c>
      <c r="G356" s="80">
        <f t="shared" si="31"/>
        <v>24991.98</v>
      </c>
      <c r="H356" s="80">
        <f t="shared" si="31"/>
        <v>24991.98</v>
      </c>
    </row>
    <row r="357" spans="1:8" x14ac:dyDescent="0.25">
      <c r="A357" s="144" t="s">
        <v>167</v>
      </c>
      <c r="B357" s="145"/>
      <c r="C357" s="146"/>
      <c r="D357" s="31" t="s">
        <v>100</v>
      </c>
      <c r="E357" s="46"/>
      <c r="F357" s="34">
        <v>23691.02</v>
      </c>
      <c r="G357" s="34">
        <v>24991.98</v>
      </c>
      <c r="H357" s="34">
        <v>24991.98</v>
      </c>
    </row>
    <row r="358" spans="1:8" x14ac:dyDescent="0.25">
      <c r="A358" s="141">
        <v>34</v>
      </c>
      <c r="B358" s="142"/>
      <c r="C358" s="143"/>
      <c r="D358" s="60" t="s">
        <v>82</v>
      </c>
      <c r="E358" s="59">
        <v>0</v>
      </c>
      <c r="F358" s="59">
        <v>0</v>
      </c>
      <c r="G358" s="59">
        <v>0</v>
      </c>
      <c r="H358" s="59">
        <v>0</v>
      </c>
    </row>
    <row r="359" spans="1:8" ht="25.5" x14ac:dyDescent="0.25">
      <c r="A359" s="156">
        <v>4</v>
      </c>
      <c r="B359" s="157"/>
      <c r="C359" s="158"/>
      <c r="D359" s="37" t="s">
        <v>18</v>
      </c>
      <c r="E359" s="38">
        <v>0</v>
      </c>
      <c r="F359" s="38">
        <v>8427.9</v>
      </c>
      <c r="G359" s="38">
        <f t="shared" ref="G359:H361" si="32">G360</f>
        <v>1136.8800000000001</v>
      </c>
      <c r="H359" s="38">
        <f t="shared" si="32"/>
        <v>1136.8800000000001</v>
      </c>
    </row>
    <row r="360" spans="1:8" ht="25.5" x14ac:dyDescent="0.25">
      <c r="A360" s="141">
        <v>42</v>
      </c>
      <c r="B360" s="142"/>
      <c r="C360" s="143"/>
      <c r="D360" s="60" t="s">
        <v>87</v>
      </c>
      <c r="E360" s="59">
        <v>0</v>
      </c>
      <c r="F360" s="59">
        <v>8427.9</v>
      </c>
      <c r="G360" s="59">
        <f t="shared" si="32"/>
        <v>1136.8800000000001</v>
      </c>
      <c r="H360" s="59">
        <f t="shared" si="32"/>
        <v>1136.8800000000001</v>
      </c>
    </row>
    <row r="361" spans="1:8" x14ac:dyDescent="0.25">
      <c r="A361" s="147" t="s">
        <v>203</v>
      </c>
      <c r="B361" s="148"/>
      <c r="C361" s="149"/>
      <c r="D361" s="78" t="s">
        <v>204</v>
      </c>
      <c r="E361" s="46">
        <v>608.33000000000004</v>
      </c>
      <c r="F361" s="34">
        <v>2654.46</v>
      </c>
      <c r="G361" s="80">
        <f t="shared" si="32"/>
        <v>1136.8800000000001</v>
      </c>
      <c r="H361" s="80">
        <f t="shared" si="32"/>
        <v>1136.8800000000001</v>
      </c>
    </row>
    <row r="362" spans="1:8" x14ac:dyDescent="0.25">
      <c r="A362" s="144" t="s">
        <v>160</v>
      </c>
      <c r="B362" s="145"/>
      <c r="C362" s="146"/>
      <c r="D362" s="31" t="s">
        <v>101</v>
      </c>
      <c r="E362" s="46"/>
      <c r="F362" s="34">
        <v>8427.9</v>
      </c>
      <c r="G362" s="34">
        <v>1136.8800000000001</v>
      </c>
      <c r="H362" s="34">
        <v>1136.8800000000001</v>
      </c>
    </row>
    <row r="363" spans="1:8" ht="45" customHeight="1" x14ac:dyDescent="0.25">
      <c r="A363" s="150" t="s">
        <v>68</v>
      </c>
      <c r="B363" s="151"/>
      <c r="C363" s="152"/>
      <c r="D363" s="36" t="s">
        <v>234</v>
      </c>
      <c r="E363" s="39">
        <v>0</v>
      </c>
      <c r="F363" s="39">
        <v>32158.74</v>
      </c>
      <c r="G363" s="39">
        <f>G364</f>
        <v>0</v>
      </c>
      <c r="H363" s="39">
        <f>H364</f>
        <v>0</v>
      </c>
    </row>
    <row r="364" spans="1:8" ht="15" customHeight="1" x14ac:dyDescent="0.25">
      <c r="A364" s="153" t="s">
        <v>128</v>
      </c>
      <c r="B364" s="154"/>
      <c r="C364" s="155"/>
      <c r="D364" s="40" t="s">
        <v>129</v>
      </c>
      <c r="E364" s="40">
        <v>0</v>
      </c>
      <c r="F364" s="40">
        <v>32118.92</v>
      </c>
      <c r="G364" s="40">
        <f>G365+G370</f>
        <v>0</v>
      </c>
      <c r="H364" s="40">
        <f>H365</f>
        <v>0</v>
      </c>
    </row>
    <row r="365" spans="1:8" x14ac:dyDescent="0.25">
      <c r="A365" s="156">
        <v>3</v>
      </c>
      <c r="B365" s="157"/>
      <c r="C365" s="158"/>
      <c r="D365" s="77" t="s">
        <v>16</v>
      </c>
      <c r="E365" s="38">
        <v>0</v>
      </c>
      <c r="F365" s="38">
        <v>23691.02</v>
      </c>
      <c r="G365" s="38">
        <f>G366</f>
        <v>0</v>
      </c>
      <c r="H365" s="38">
        <f>H366</f>
        <v>0</v>
      </c>
    </row>
    <row r="366" spans="1:8" x14ac:dyDescent="0.25">
      <c r="A366" s="141">
        <v>38</v>
      </c>
      <c r="B366" s="142"/>
      <c r="C366" s="143"/>
      <c r="D366" s="60" t="s">
        <v>23</v>
      </c>
      <c r="E366" s="59">
        <v>0</v>
      </c>
      <c r="F366" s="59">
        <v>23691.02</v>
      </c>
      <c r="G366" s="59">
        <f>G367</f>
        <v>0</v>
      </c>
      <c r="H366" s="59">
        <f>H367</f>
        <v>0</v>
      </c>
    </row>
    <row r="367" spans="1:8" x14ac:dyDescent="0.25">
      <c r="A367" s="147" t="s">
        <v>199</v>
      </c>
      <c r="B367" s="148"/>
      <c r="C367" s="149"/>
      <c r="D367" s="78" t="s">
        <v>85</v>
      </c>
      <c r="E367" s="46">
        <v>608.33000000000004</v>
      </c>
      <c r="F367" s="34">
        <v>2654.46</v>
      </c>
      <c r="G367" s="80">
        <f>G368</f>
        <v>0</v>
      </c>
      <c r="H367" s="80">
        <f>H368</f>
        <v>0</v>
      </c>
    </row>
    <row r="368" spans="1:8" x14ac:dyDescent="0.25">
      <c r="A368" s="144" t="s">
        <v>206</v>
      </c>
      <c r="B368" s="145"/>
      <c r="C368" s="146"/>
      <c r="D368" s="31" t="s">
        <v>235</v>
      </c>
      <c r="E368" s="46"/>
      <c r="F368" s="34">
        <v>23691.02</v>
      </c>
      <c r="G368" s="34">
        <v>0</v>
      </c>
      <c r="H368" s="34">
        <v>0</v>
      </c>
    </row>
    <row r="370" spans="1:15" x14ac:dyDescent="0.25">
      <c r="A370" t="s">
        <v>223</v>
      </c>
      <c r="E370" t="s">
        <v>224</v>
      </c>
      <c r="H370" t="s">
        <v>225</v>
      </c>
    </row>
    <row r="371" spans="1:15" x14ac:dyDescent="0.25">
      <c r="A371" t="s">
        <v>226</v>
      </c>
      <c r="E371" t="s">
        <v>227</v>
      </c>
      <c r="H371" t="s">
        <v>228</v>
      </c>
    </row>
    <row r="372" spans="1:15" x14ac:dyDescent="0.25">
      <c r="A372" t="s">
        <v>257</v>
      </c>
    </row>
    <row r="374" spans="1:15" ht="16.5" x14ac:dyDescent="0.3">
      <c r="D374" s="87" t="s">
        <v>236</v>
      </c>
    </row>
    <row r="376" spans="1:15" x14ac:dyDescent="0.25">
      <c r="A376">
        <v>31</v>
      </c>
      <c r="D376" t="s">
        <v>17</v>
      </c>
      <c r="E376" s="45">
        <v>1008145.65</v>
      </c>
      <c r="F376" s="45">
        <v>990790.58</v>
      </c>
      <c r="G376" s="45">
        <f>SUMIF(A5:A368,"31",G5:G368)</f>
        <v>1096857.1200000001</v>
      </c>
      <c r="H376" s="45">
        <f>SUMIF(A5:A368,"31",H5:H368)</f>
        <v>1120156.52</v>
      </c>
      <c r="J376">
        <v>6596544.8238980798</v>
      </c>
      <c r="K376">
        <v>6619812.7095361296</v>
      </c>
    </row>
    <row r="377" spans="1:15" x14ac:dyDescent="0.25">
      <c r="A377">
        <v>32</v>
      </c>
      <c r="D377" t="s">
        <v>23</v>
      </c>
      <c r="E377" s="45">
        <v>263727.73</v>
      </c>
      <c r="F377" s="45">
        <v>217025</v>
      </c>
      <c r="G377" s="45">
        <f>SUMIF(A6:A369,"32",G6:G369)</f>
        <v>218273.23</v>
      </c>
      <c r="H377" s="45">
        <f>SUMIF(A6:A369,"32",H6:H369)</f>
        <v>340423.04</v>
      </c>
    </row>
    <row r="378" spans="1:15" x14ac:dyDescent="0.25">
      <c r="A378">
        <v>34</v>
      </c>
      <c r="D378" t="s">
        <v>82</v>
      </c>
      <c r="E378" s="45">
        <v>7503.8</v>
      </c>
      <c r="F378" s="45">
        <v>1128.1400000000001</v>
      </c>
      <c r="G378" s="45">
        <f>SUMIF(A7:A370,"34",G7:G370)</f>
        <v>1420.13</v>
      </c>
      <c r="H378" s="45">
        <f>SUMIF(A7:A370,"34",H7:H370)</f>
        <v>1321.99</v>
      </c>
    </row>
    <row r="379" spans="1:15" x14ac:dyDescent="0.25">
      <c r="A379">
        <v>37</v>
      </c>
      <c r="D379" t="s">
        <v>138</v>
      </c>
      <c r="E379" s="45">
        <v>0</v>
      </c>
      <c r="F379" s="45">
        <v>0</v>
      </c>
      <c r="G379" s="45">
        <f>SUMIF(A8:A371,"37",G8:G371)</f>
        <v>2256.29</v>
      </c>
      <c r="H379" s="45">
        <f>SUMIF(A8:A371,"37",H8:H371)</f>
        <v>2156.25</v>
      </c>
    </row>
    <row r="380" spans="1:15" x14ac:dyDescent="0.25">
      <c r="A380">
        <v>38</v>
      </c>
      <c r="D380" t="s">
        <v>86</v>
      </c>
      <c r="E380" s="45">
        <v>2661.11</v>
      </c>
      <c r="F380" s="45">
        <v>0</v>
      </c>
      <c r="G380" s="45">
        <f>SUMIF(A9:A372,"38",G9:G372)</f>
        <v>0</v>
      </c>
      <c r="H380" s="45">
        <f>SUMIF(A9:A372,"38",H9:H372)</f>
        <v>0</v>
      </c>
    </row>
    <row r="381" spans="1:15" x14ac:dyDescent="0.25">
      <c r="A381">
        <v>42</v>
      </c>
      <c r="D381" t="s">
        <v>139</v>
      </c>
      <c r="E381" s="45">
        <v>41762.959999999999</v>
      </c>
      <c r="F381" s="45">
        <v>111991.51</v>
      </c>
      <c r="G381" s="45">
        <f ca="1">SUMIF(A10:A373,"42",G10:G368)</f>
        <v>6781.46</v>
      </c>
      <c r="H381" s="45">
        <f ca="1">SUMIF(A10:AA373,"42",H10:H368)</f>
        <v>6781.46</v>
      </c>
      <c r="I381" s="45">
        <f ca="1">G4-G382</f>
        <v>0</v>
      </c>
      <c r="O381" s="45">
        <f ca="1">H4-H382</f>
        <v>0</v>
      </c>
    </row>
    <row r="382" spans="1:15" x14ac:dyDescent="0.25">
      <c r="D382" s="74" t="s">
        <v>220</v>
      </c>
      <c r="E382" s="75">
        <v>1323801.25</v>
      </c>
      <c r="F382" s="75">
        <v>1320935.23</v>
      </c>
      <c r="G382" s="75">
        <f ca="1">SUM(G376:G381)</f>
        <v>1325588.23</v>
      </c>
      <c r="H382" s="75">
        <f t="shared" ref="H382" ca="1" si="33">SUM(H376:H381)</f>
        <v>1470839.26</v>
      </c>
    </row>
    <row r="383" spans="1:15" x14ac:dyDescent="0.25">
      <c r="A383" t="s">
        <v>121</v>
      </c>
      <c r="E383" s="45">
        <v>0</v>
      </c>
      <c r="F383" s="45">
        <v>0</v>
      </c>
      <c r="G383" s="88">
        <f>G8</f>
        <v>2256.29</v>
      </c>
      <c r="H383" s="88">
        <f>H8</f>
        <v>2156.25</v>
      </c>
    </row>
    <row r="384" spans="1:15" x14ac:dyDescent="0.25">
      <c r="A384" t="s">
        <v>103</v>
      </c>
      <c r="E384" s="45">
        <v>180598.41</v>
      </c>
      <c r="F384" s="45">
        <v>95232.25</v>
      </c>
      <c r="G384" s="88">
        <f>SUMIF(A12:A368,"Izvor financiranja 4.1.",G12:G368)</f>
        <v>47411.76</v>
      </c>
      <c r="H384" s="88">
        <f>SUMIF(A12:A368,"Izvor financiranja 4.1.",H12:H368)</f>
        <v>47795</v>
      </c>
    </row>
    <row r="385" spans="1:15" x14ac:dyDescent="0.25">
      <c r="A385" t="s">
        <v>109</v>
      </c>
      <c r="E385" s="45">
        <v>19944.21</v>
      </c>
      <c r="F385" s="45">
        <v>108126.14</v>
      </c>
      <c r="G385" s="88">
        <f>SUMIF(A12:A368,"Izvor financiranja 1.1.",G12:G368)</f>
        <v>8370.7099999999991</v>
      </c>
      <c r="H385" s="88">
        <f ca="1">SUMIF(A12:A375,"Izvor financiranja 1.1.",H12:H368)</f>
        <v>130906.43</v>
      </c>
    </row>
    <row r="386" spans="1:15" x14ac:dyDescent="0.25">
      <c r="A386" t="s">
        <v>222</v>
      </c>
      <c r="E386" s="45">
        <v>10843.15</v>
      </c>
      <c r="F386" s="45">
        <v>26982.11</v>
      </c>
      <c r="G386" s="88">
        <f>SUMIF(A12:A368,"Izvor financiranja 5.T.",G12:G368)</f>
        <v>25688.75</v>
      </c>
      <c r="H386" s="88">
        <f ca="1">SUMIF(A12:A375,"Izvor financiranja 5.T.",H12:H368)</f>
        <v>48120.86</v>
      </c>
    </row>
    <row r="387" spans="1:15" x14ac:dyDescent="0.25">
      <c r="A387" t="s">
        <v>117</v>
      </c>
      <c r="E387" s="45">
        <v>345.25</v>
      </c>
      <c r="F387" s="45">
        <v>398.17</v>
      </c>
      <c r="G387" s="88">
        <f>SUMIF(A12:A368,"Izvor financiranja 3.3.",G12:G368)</f>
        <v>477.8</v>
      </c>
      <c r="H387" s="88">
        <f>SUMIF(A12:A368,"Izvor financiranja 3.3.",H12:H368)</f>
        <v>477.8</v>
      </c>
    </row>
    <row r="388" spans="1:15" x14ac:dyDescent="0.25">
      <c r="A388" t="s">
        <v>124</v>
      </c>
      <c r="E388" s="45">
        <v>5067.57</v>
      </c>
      <c r="F388" s="45">
        <v>4844.38</v>
      </c>
      <c r="G388" s="88">
        <f>SUMIF(A12:A368,"Izvor financiranja 3.7.",G12:G368)</f>
        <v>8099.95</v>
      </c>
      <c r="H388" s="88">
        <f>SUMIF(A12:A368,"Izvor financiranja 3.7.",H12:H368)</f>
        <v>8099.95</v>
      </c>
    </row>
    <row r="389" spans="1:15" x14ac:dyDescent="0.25">
      <c r="A389" t="s">
        <v>126</v>
      </c>
      <c r="E389" s="45">
        <v>25405.51</v>
      </c>
      <c r="F389" s="45">
        <v>29716.639999999999</v>
      </c>
      <c r="G389" s="88">
        <f>SUMIF(A12:A368,"Izvor financiranja 4.L.",G12:G368)</f>
        <v>43065.24</v>
      </c>
      <c r="H389" s="88">
        <f>SUMIF(A12:A368,"Izvor financiranja 4.L.",H12:H368)</f>
        <v>43065.24</v>
      </c>
    </row>
    <row r="390" spans="1:15" x14ac:dyDescent="0.25">
      <c r="A390" t="s">
        <v>128</v>
      </c>
      <c r="E390" s="45">
        <v>1078950.46</v>
      </c>
      <c r="F390" s="45">
        <v>1055569.18</v>
      </c>
      <c r="G390" s="45">
        <f>SUMIF(A12:A368,"Izvor financiranja 5.K.",G12:G368)</f>
        <v>1188824.1499999999</v>
      </c>
      <c r="H390" s="45">
        <f>SUMIF(A12:A368,"Izvor financiranja 5.K.",H12:H368)</f>
        <v>1188824.1499999999</v>
      </c>
    </row>
    <row r="391" spans="1:15" x14ac:dyDescent="0.25">
      <c r="A391" t="s">
        <v>215</v>
      </c>
      <c r="E391" s="45">
        <v>2646.69</v>
      </c>
      <c r="F391" s="45">
        <v>66.36</v>
      </c>
      <c r="G391" s="88">
        <f>SUMIF(A12:A368,"Izvor financiranja 6.3.",G12:G368)</f>
        <v>530.89</v>
      </c>
      <c r="H391" s="88">
        <f>SUMIF(A12:A375,"Izvor financiranja 6.3.",H12:H375)</f>
        <v>530.89</v>
      </c>
    </row>
    <row r="392" spans="1:15" x14ac:dyDescent="0.25">
      <c r="A392" s="58" t="s">
        <v>170</v>
      </c>
      <c r="E392" s="45">
        <v>0</v>
      </c>
      <c r="F392" s="45">
        <v>0</v>
      </c>
      <c r="G392" s="88">
        <f>G339</f>
        <v>862.69</v>
      </c>
      <c r="H392" s="88">
        <f>H339</f>
        <v>862.69</v>
      </c>
    </row>
    <row r="393" spans="1:15" x14ac:dyDescent="0.25">
      <c r="A393" s="58"/>
      <c r="E393" s="45">
        <v>0</v>
      </c>
      <c r="F393" s="45">
        <v>0</v>
      </c>
      <c r="G393" s="45">
        <v>0</v>
      </c>
      <c r="H393" s="45">
        <v>0</v>
      </c>
    </row>
    <row r="394" spans="1:15" x14ac:dyDescent="0.25">
      <c r="G394" s="45">
        <v>0</v>
      </c>
      <c r="H394" s="45">
        <v>0</v>
      </c>
    </row>
    <row r="395" spans="1:15" x14ac:dyDescent="0.25">
      <c r="D395" s="74" t="s">
        <v>221</v>
      </c>
      <c r="E395" s="75">
        <v>1323801.25</v>
      </c>
      <c r="F395" s="75">
        <v>1320935.23</v>
      </c>
      <c r="G395" s="75">
        <f>SUM(G383:G394)</f>
        <v>1325588.23</v>
      </c>
      <c r="H395" s="75">
        <f ca="1">SUM(H383:H394)</f>
        <v>1470839.26</v>
      </c>
    </row>
    <row r="396" spans="1:15" x14ac:dyDescent="0.25">
      <c r="G396" s="45"/>
      <c r="I396" s="45">
        <f ca="1">G395-G382</f>
        <v>0</v>
      </c>
      <c r="O396" s="45">
        <f ca="1">H395-H382</f>
        <v>0</v>
      </c>
    </row>
    <row r="397" spans="1:15" x14ac:dyDescent="0.25">
      <c r="A397" t="s">
        <v>148</v>
      </c>
      <c r="G397" s="45">
        <f>SUMIF($A$18:$A$374,"3111",$G$18:$G$374)</f>
        <v>913155.5</v>
      </c>
      <c r="H397" s="45">
        <f>SUMIF($A$12:$A$374,"3111",$H$12:$H$374)</f>
        <v>930889.79</v>
      </c>
    </row>
    <row r="398" spans="1:15" x14ac:dyDescent="0.25">
      <c r="A398" t="s">
        <v>149</v>
      </c>
      <c r="E398" s="45">
        <v>0</v>
      </c>
      <c r="F398" s="45"/>
      <c r="G398" s="45">
        <f>SUMIF($A$18:$A$374,"3121",$G$18:$G$374)</f>
        <v>36054.15</v>
      </c>
      <c r="H398" s="45">
        <f>SUMIF($A$12:$A$374,"3121",$H$12:$H$374)</f>
        <v>38698.089999999997</v>
      </c>
    </row>
    <row r="399" spans="1:15" x14ac:dyDescent="0.25">
      <c r="A399" t="s">
        <v>150</v>
      </c>
      <c r="E399" s="45">
        <v>0</v>
      </c>
      <c r="G399" s="45">
        <f>SUMIF($A$18:$A$374,"3132",$G$18:$G$374)</f>
        <v>147620.93</v>
      </c>
      <c r="H399" s="45">
        <f>SUMIF($A$12:$A$374,"3132",$H$12:$H$374)</f>
        <v>150542.1</v>
      </c>
    </row>
    <row r="400" spans="1:15" x14ac:dyDescent="0.25">
      <c r="A400" t="s">
        <v>164</v>
      </c>
      <c r="E400" s="45">
        <v>0</v>
      </c>
      <c r="G400" s="45">
        <f>SUMIF($A$18:$A$374,"3133",$G$18:$G$374)</f>
        <v>26.54</v>
      </c>
      <c r="H400" s="45">
        <f>SUMIF($A$12:$A$374,"3133",$H$12:$H$374)</f>
        <v>26.54</v>
      </c>
    </row>
    <row r="401" spans="1:8" x14ac:dyDescent="0.25">
      <c r="A401">
        <v>3211</v>
      </c>
      <c r="E401" s="45">
        <v>0</v>
      </c>
      <c r="G401" s="45">
        <f>SUMIF($A$18:$A$374,"3211",$G$18:$G$374)</f>
        <v>11385.19</v>
      </c>
      <c r="H401" s="45">
        <f>SUMIF($A$12:$A$374,"3211",$H$12:$H$374)</f>
        <v>10674</v>
      </c>
    </row>
    <row r="402" spans="1:8" x14ac:dyDescent="0.25">
      <c r="A402" t="s">
        <v>152</v>
      </c>
      <c r="E402" s="45">
        <v>0</v>
      </c>
      <c r="G402" s="45">
        <f>SUMIF($A$18:$A$374,"3212",$G$18:$G$374)</f>
        <v>44330.48</v>
      </c>
      <c r="H402" s="45">
        <f>SUMIF($A$12:$A$374,"3212",$H$12:$H$374)</f>
        <v>47455</v>
      </c>
    </row>
    <row r="403" spans="1:8" x14ac:dyDescent="0.25">
      <c r="A403" t="s">
        <v>178</v>
      </c>
      <c r="E403" s="45">
        <v>0</v>
      </c>
      <c r="G403" s="45">
        <f>SUMIF($A$18:$A$374,"3213",$G$18:$G$374)</f>
        <v>3380.33</v>
      </c>
      <c r="H403" s="45">
        <f>SUMIF($A$12:$A$374,"3213",$H$12:$H$374)</f>
        <v>2982.16</v>
      </c>
    </row>
    <row r="404" spans="1:8" x14ac:dyDescent="0.25">
      <c r="A404" t="s">
        <v>167</v>
      </c>
      <c r="E404" s="45"/>
      <c r="G404" s="45">
        <f>SUMIF($A$18:$A$374,"3221",$G$18:$G$374)</f>
        <v>32362.75</v>
      </c>
      <c r="H404" s="45">
        <f>SUMIF($A$12:$A$374,"3221",$H$12:$H$374)</f>
        <v>32053.54</v>
      </c>
    </row>
    <row r="405" spans="1:8" x14ac:dyDescent="0.25">
      <c r="A405" t="s">
        <v>168</v>
      </c>
      <c r="E405" s="45">
        <v>0</v>
      </c>
      <c r="G405" s="45">
        <f>SUMIF($A$18:$A$374,"3222",$G$18:$G$374)</f>
        <v>57625.85</v>
      </c>
      <c r="H405" s="45">
        <f>SUMIF($A$12:$A$374,"3222",$H$12:$H$374)</f>
        <v>57625.85</v>
      </c>
    </row>
    <row r="406" spans="1:8" x14ac:dyDescent="0.25">
      <c r="A406" t="s">
        <v>182</v>
      </c>
      <c r="E406" s="45">
        <v>0</v>
      </c>
      <c r="G406" s="45">
        <f>SUMIF($A$18:$A$374,"3223",$G$18:$G$374)</f>
        <v>14692.41</v>
      </c>
      <c r="H406" s="45">
        <f>SUMIF($A$12:$A$374,"3223",$H$12:$H$374)</f>
        <v>110590.75</v>
      </c>
    </row>
    <row r="407" spans="1:8" x14ac:dyDescent="0.25">
      <c r="A407" t="s">
        <v>154</v>
      </c>
      <c r="E407" s="45">
        <v>0</v>
      </c>
      <c r="G407" s="45">
        <f>SUMIF($A$18:$A$374,"3224",$G$18:$G$374)</f>
        <v>2521.73</v>
      </c>
      <c r="H407" s="45">
        <f>SUMIF($A$12:$A$374,"3224",$H$12:$H$374)</f>
        <v>3351.17</v>
      </c>
    </row>
    <row r="408" spans="1:8" x14ac:dyDescent="0.25">
      <c r="A408" t="s">
        <v>169</v>
      </c>
      <c r="E408" s="45">
        <v>0</v>
      </c>
      <c r="G408" s="45">
        <f>SUMIF($A$18:$A$374,"3225",$G$18:$G$374)</f>
        <v>1738.66</v>
      </c>
      <c r="H408" s="45">
        <f>SUMIF($A$12:$A$374,"3225",$H$12:$H$374)</f>
        <v>1575.05</v>
      </c>
    </row>
    <row r="409" spans="1:8" x14ac:dyDescent="0.25">
      <c r="A409" t="s">
        <v>183</v>
      </c>
      <c r="E409" s="45">
        <v>0</v>
      </c>
      <c r="G409" s="45">
        <f>SUMIF($A$18:$A$374,"3227",$G$18:$G$374)</f>
        <v>357.69</v>
      </c>
      <c r="H409" s="45">
        <f>SUMIF($A$12:$A$374,"3227",$H$12:$H$374)</f>
        <v>357.69</v>
      </c>
    </row>
    <row r="410" spans="1:8" x14ac:dyDescent="0.25">
      <c r="A410" t="s">
        <v>186</v>
      </c>
      <c r="E410" s="45">
        <v>0</v>
      </c>
      <c r="G410" s="45">
        <f>SUMIF($A$18:$A$374,"3231",$G$18:$G$374)</f>
        <v>14334.06</v>
      </c>
      <c r="H410" s="45">
        <f>SUMIF($A$12:$A$374,"3231",$H$12:$H$374)</f>
        <v>14325.05</v>
      </c>
    </row>
    <row r="411" spans="1:8" x14ac:dyDescent="0.25">
      <c r="A411" t="s">
        <v>155</v>
      </c>
      <c r="E411" s="45"/>
      <c r="G411" s="45">
        <f>SUMIF($A$18:$A$374,"3232",$G$18:$G$374)</f>
        <v>11177.77</v>
      </c>
      <c r="H411" s="45">
        <f>SUMIF($A$12:$A$374,"3232",$H$12:$H$374)</f>
        <v>35949.480000000003</v>
      </c>
    </row>
    <row r="412" spans="1:8" x14ac:dyDescent="0.25">
      <c r="A412" t="s">
        <v>191</v>
      </c>
      <c r="G412" s="45">
        <f>SUMIF($A$18:$A$374,"3233",$G$18:$G$374)</f>
        <v>79.63</v>
      </c>
      <c r="H412" s="45">
        <f>SUMIF($A$12:$A$374,"3233",$H$12:$H$374)</f>
        <v>23.27</v>
      </c>
    </row>
    <row r="413" spans="1:8" x14ac:dyDescent="0.25">
      <c r="A413" t="s">
        <v>187</v>
      </c>
      <c r="G413" s="45">
        <f>SUMIF($A$18:$A$374,"3234",$G$18:$G$374)</f>
        <v>3716.24</v>
      </c>
      <c r="H413" s="45">
        <f>SUMIF($A$12:$A$374,"3234",$H$12:$H$374)</f>
        <v>3716.24</v>
      </c>
    </row>
    <row r="414" spans="1:8" x14ac:dyDescent="0.25">
      <c r="A414" t="s">
        <v>192</v>
      </c>
      <c r="G414" s="45">
        <f>SUMIF($A$18:$A$374,"3235",$G$18:$G$374)</f>
        <v>464.53</v>
      </c>
      <c r="H414" s="45">
        <f>SUMIF($A$12:$A$374,"3235",$H$12:$H$374)</f>
        <v>558.72</v>
      </c>
    </row>
    <row r="415" spans="1:8" x14ac:dyDescent="0.25">
      <c r="A415" t="s">
        <v>163</v>
      </c>
      <c r="G415" s="45">
        <f>SUMIF($A$18:$A$374,"3236",$G$18:$G$374)</f>
        <v>2256.2800000000002</v>
      </c>
      <c r="H415" s="45">
        <f>SUMIF($A$12:$A$374,"3236",$H$12:$H$374)</f>
        <v>3365.44</v>
      </c>
    </row>
    <row r="416" spans="1:8" x14ac:dyDescent="0.25">
      <c r="A416" t="s">
        <v>188</v>
      </c>
      <c r="G416" s="45">
        <f>SUMIF($A$18:$A$374,"3237",$G$18:$G$374)</f>
        <v>663.61</v>
      </c>
      <c r="H416" s="45">
        <f>SUMIF($A$12:$A$374,"3237",$H$12:$H$374)</f>
        <v>992.24</v>
      </c>
    </row>
    <row r="417" spans="1:8" x14ac:dyDescent="0.25">
      <c r="A417" t="s">
        <v>153</v>
      </c>
      <c r="G417" s="45">
        <f>SUMIF($A$18:$A$374,"3238",$G$18:$G$374)</f>
        <v>2244.7399999999998</v>
      </c>
      <c r="H417" s="45">
        <f>SUMIF($A$12:$A$374,"3238",$H$12:$H$374)</f>
        <v>2350</v>
      </c>
    </row>
    <row r="418" spans="1:8" x14ac:dyDescent="0.25">
      <c r="A418" t="s">
        <v>189</v>
      </c>
      <c r="G418" s="45">
        <f>SUMIF($A$18:$A$374,"3239",$G$18:$G$374)</f>
        <v>2747.36</v>
      </c>
      <c r="H418" s="45">
        <f>SUMIF($A$12:$A$374,"3239",$H$12:$H$374)</f>
        <v>2582.83</v>
      </c>
    </row>
    <row r="419" spans="1:8" x14ac:dyDescent="0.25">
      <c r="A419" s="110">
        <v>3291</v>
      </c>
      <c r="G419" s="45">
        <f>SUMIF($A$18:$A$374,"3291",$G$18:$G$374)</f>
        <v>1327.23</v>
      </c>
      <c r="H419" s="45">
        <f>SUMIF($A$12:$A$374,"3291",$H$12:$H$374)</f>
        <v>0</v>
      </c>
    </row>
    <row r="420" spans="1:8" x14ac:dyDescent="0.25">
      <c r="A420" t="s">
        <v>161</v>
      </c>
      <c r="G420" s="45">
        <f>SUMIF($A$18:$A$374,"3292",$G$18:$G$374)</f>
        <v>1844.85</v>
      </c>
      <c r="H420" s="45">
        <f>SUMIF($A$12:$A$374,"3292",$H$12:$H$374)</f>
        <v>1844.85</v>
      </c>
    </row>
    <row r="421" spans="1:8" x14ac:dyDescent="0.25">
      <c r="A421" t="s">
        <v>145</v>
      </c>
      <c r="G421" s="45">
        <f>SUMIF($A$18:$A$374,"3293",$G$18:$G$374)</f>
        <v>865.97</v>
      </c>
      <c r="H421" s="45">
        <f>SUMIF($A$12:$A$374,"3293",$H$12:$H$374)</f>
        <v>809.61</v>
      </c>
    </row>
    <row r="422" spans="1:8" x14ac:dyDescent="0.25">
      <c r="A422" s="110">
        <v>3294</v>
      </c>
      <c r="G422" s="45">
        <f>SUMIF($A$18:$A$374,"3294",$G$18:$G$374)</f>
        <v>152.63</v>
      </c>
      <c r="H422" s="45">
        <f>SUMIF($A$12:$A$374,"3294",$H$12:$H$374)</f>
        <v>152.63</v>
      </c>
    </row>
    <row r="423" spans="1:8" x14ac:dyDescent="0.25">
      <c r="A423" t="s">
        <v>165</v>
      </c>
      <c r="G423" s="45">
        <f>SUMIF($A$18:$A$374,"3295",$G$18:$G$374)</f>
        <v>3095.76</v>
      </c>
      <c r="H423" s="45">
        <f>SUMIF($A$12:$A$374,"3295",$H$12:$H$374)</f>
        <v>3095.76</v>
      </c>
    </row>
    <row r="424" spans="1:8" x14ac:dyDescent="0.25">
      <c r="A424" t="s">
        <v>166</v>
      </c>
      <c r="G424" s="45">
        <f>SUMIF($A$18:$A$374,"3296",$G$18:$G$374)</f>
        <v>530.89</v>
      </c>
      <c r="H424" s="45">
        <f>SUMIF($A$12:$A$374,"3296",$H$12:$H$374)</f>
        <v>530.89</v>
      </c>
    </row>
    <row r="425" spans="1:8" x14ac:dyDescent="0.25">
      <c r="A425" t="s">
        <v>147</v>
      </c>
      <c r="G425" s="45">
        <f>SUMIF($A$18:$A$374,"3299",$G$18:$G$374)</f>
        <v>4376.59</v>
      </c>
      <c r="H425" s="45">
        <f>SUMIF($A$12:$A$374,"3299",$H$12:$H$374)</f>
        <v>3460.82</v>
      </c>
    </row>
    <row r="426" spans="1:8" x14ac:dyDescent="0.25">
      <c r="A426" t="s">
        <v>144</v>
      </c>
      <c r="G426" s="45">
        <f>SUMIF($A$18:$A$374,"3431",$G$18:$G$374)</f>
        <v>1247.5899999999999</v>
      </c>
      <c r="H426" s="45">
        <f>SUMIF($A$12:$A$374,"3431",$H$12:$H$374)</f>
        <v>1149.45</v>
      </c>
    </row>
    <row r="427" spans="1:8" x14ac:dyDescent="0.25">
      <c r="A427" t="s">
        <v>156</v>
      </c>
      <c r="G427" s="45">
        <f>SUMIF($A$18:$A$374,"3433",$G$18:$G$374)</f>
        <v>172.54</v>
      </c>
      <c r="H427" s="45">
        <f>SUMIF($A$12:$A$374,"3433",$H$12:$H$374)</f>
        <v>172.54</v>
      </c>
    </row>
    <row r="428" spans="1:8" x14ac:dyDescent="0.25">
      <c r="A428" s="110">
        <v>3722</v>
      </c>
      <c r="G428" s="45">
        <f>SUMIF($A$12:$A$374,"3722",$G$12:$G$374)</f>
        <v>2256.29</v>
      </c>
      <c r="H428" s="45">
        <f>SUMIF($A$12:$A$374,"3722",$H$12:$H$374)</f>
        <v>2156.25</v>
      </c>
    </row>
    <row r="429" spans="1:8" x14ac:dyDescent="0.25">
      <c r="A429" s="110">
        <v>3811</v>
      </c>
      <c r="G429" s="45">
        <f>SUMIF($A$18:$A$374,"3811",$G$18:$G$374)</f>
        <v>0</v>
      </c>
      <c r="H429" s="45">
        <f>SUMIF($A$12:$A$374,"3811",$H$12:$H$374)</f>
        <v>0</v>
      </c>
    </row>
    <row r="430" spans="1:8" x14ac:dyDescent="0.25">
      <c r="A430" s="110">
        <v>3812</v>
      </c>
      <c r="G430" s="45">
        <f>SUMIF($A$18:$A$374,"3812",$G$18:$G$374)</f>
        <v>0</v>
      </c>
      <c r="H430" s="45">
        <f>SUMIF($A$12:$A$374,"3812",$H$12:$H$374)</f>
        <v>0</v>
      </c>
    </row>
    <row r="431" spans="1:8" x14ac:dyDescent="0.25">
      <c r="A431" s="110">
        <v>4212</v>
      </c>
      <c r="G431" s="45">
        <f>SUMIF($A$18:$A$374,"4212",$G$18:$G$374)</f>
        <v>0</v>
      </c>
      <c r="H431" s="45">
        <f>SUMIF($A$12:$A$374,"4212",$H$12:$H$374)</f>
        <v>0</v>
      </c>
    </row>
    <row r="432" spans="1:8" x14ac:dyDescent="0.25">
      <c r="A432" t="s">
        <v>157</v>
      </c>
      <c r="G432" s="45">
        <f>SUMIF($A$18:$A$374,"4221",$G$18:$G$374)</f>
        <v>1592.68</v>
      </c>
      <c r="H432" s="45">
        <f>SUMIF($A$12:$A$374,"4221",$H$12:$H$374)</f>
        <v>1592.68</v>
      </c>
    </row>
    <row r="433" spans="1:8" x14ac:dyDescent="0.25">
      <c r="A433" s="110">
        <v>4222</v>
      </c>
      <c r="G433" s="45">
        <f>SUMIF($A$18:$A$374,"4222",$G$18:$G$374)</f>
        <v>0</v>
      </c>
      <c r="H433" s="45">
        <f>SUMIF($A$12:$A$374,"4222",$H$12:$H$374)</f>
        <v>0</v>
      </c>
    </row>
    <row r="434" spans="1:8" x14ac:dyDescent="0.25">
      <c r="A434" s="110">
        <v>4223</v>
      </c>
      <c r="G434" s="45">
        <f>SUMIF($A$18:$A$374,"4223",$G$18:$G$374)</f>
        <v>295.83999999999997</v>
      </c>
      <c r="H434" s="45">
        <f>SUMIF($A$18:$A$374,"4223",$H$12:$H$374)</f>
        <v>0</v>
      </c>
    </row>
    <row r="435" spans="1:8" x14ac:dyDescent="0.25">
      <c r="A435" t="s">
        <v>159</v>
      </c>
      <c r="G435" s="45">
        <f>SUMIF($A$18:$A$374,"4227",$G$18:$G$374)</f>
        <v>2787.18</v>
      </c>
      <c r="H435" s="45">
        <f>SUMIF($A$12:$A$374,"4227",$H$12:$H$374)</f>
        <v>2787.18</v>
      </c>
    </row>
    <row r="436" spans="1:8" x14ac:dyDescent="0.25">
      <c r="A436">
        <v>4241</v>
      </c>
      <c r="G436" s="45">
        <f>SUMIF($A$18:$A$374,"4241",$G$18:$G$374)</f>
        <v>2105.7600000000002</v>
      </c>
      <c r="H436" s="45">
        <f>SUMIF($A$12:$A$374,"4241",$H$12:$H$374)</f>
        <v>2105.7600000000002</v>
      </c>
    </row>
    <row r="437" spans="1:8" x14ac:dyDescent="0.25">
      <c r="A437">
        <v>4511</v>
      </c>
      <c r="G437" s="45">
        <f>SUMIF($A$18:$A$374,"4511",$G$18:$G$374)</f>
        <v>0</v>
      </c>
      <c r="H437" s="45">
        <f>SUMIF($A$18:$A$374,"4511",$H$18:$H$374)</f>
        <v>0</v>
      </c>
    </row>
    <row r="439" spans="1:8" x14ac:dyDescent="0.25">
      <c r="G439" s="111">
        <f>SUM(G397:G438)</f>
        <v>1325588.23</v>
      </c>
      <c r="H439" s="111">
        <f>SUM(H397:H438)</f>
        <v>1470543.42</v>
      </c>
    </row>
    <row r="440" spans="1:8" x14ac:dyDescent="0.25">
      <c r="G440" s="45">
        <f>G439-G4</f>
        <v>0</v>
      </c>
    </row>
  </sheetData>
  <autoFilter ref="A5:H368">
    <filterColumn colId="0" showButton="0"/>
    <filterColumn colId="1" showButton="0"/>
  </autoFilter>
  <mergeCells count="358">
    <mergeCell ref="A30:C30"/>
    <mergeCell ref="A16:C16"/>
    <mergeCell ref="A17:C17"/>
    <mergeCell ref="A18:C18"/>
    <mergeCell ref="A25:C25"/>
    <mergeCell ref="A26:C26"/>
    <mergeCell ref="A19:C19"/>
    <mergeCell ref="A20:C20"/>
    <mergeCell ref="A21:C21"/>
    <mergeCell ref="A83:C83"/>
    <mergeCell ref="A22:C22"/>
    <mergeCell ref="A23:C23"/>
    <mergeCell ref="A24:C24"/>
    <mergeCell ref="A33:C33"/>
    <mergeCell ref="A78:C78"/>
    <mergeCell ref="A79:C79"/>
    <mergeCell ref="A80:C80"/>
    <mergeCell ref="A81:C81"/>
    <mergeCell ref="A82:C82"/>
    <mergeCell ref="A61:C61"/>
    <mergeCell ref="A63:C63"/>
    <mergeCell ref="A70:C70"/>
    <mergeCell ref="A71:C71"/>
    <mergeCell ref="A73:C73"/>
    <mergeCell ref="A32:C32"/>
    <mergeCell ref="A137:C137"/>
    <mergeCell ref="A139:C139"/>
    <mergeCell ref="A148:C148"/>
    <mergeCell ref="A150:C150"/>
    <mergeCell ref="A152:C152"/>
    <mergeCell ref="A155:C155"/>
    <mergeCell ref="A174:C174"/>
    <mergeCell ref="A142:C142"/>
    <mergeCell ref="A1:H1"/>
    <mergeCell ref="A3:H3"/>
    <mergeCell ref="A5:C5"/>
    <mergeCell ref="A27:C27"/>
    <mergeCell ref="A28:C28"/>
    <mergeCell ref="A29:C29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58:C158"/>
    <mergeCell ref="A183:C183"/>
    <mergeCell ref="A162:C162"/>
    <mergeCell ref="A163:C163"/>
    <mergeCell ref="A165:C165"/>
    <mergeCell ref="A166:C166"/>
    <mergeCell ref="A167:C167"/>
    <mergeCell ref="A164:C164"/>
    <mergeCell ref="A180:C180"/>
    <mergeCell ref="A173:C173"/>
    <mergeCell ref="A175:C175"/>
    <mergeCell ref="A339:C339"/>
    <mergeCell ref="A340:C340"/>
    <mergeCell ref="A341:C341"/>
    <mergeCell ref="A189:C189"/>
    <mergeCell ref="A184:C184"/>
    <mergeCell ref="A127:C127"/>
    <mergeCell ref="A97:C97"/>
    <mergeCell ref="A98:C98"/>
    <mergeCell ref="A99:C99"/>
    <mergeCell ref="A100:C100"/>
    <mergeCell ref="A106:C106"/>
    <mergeCell ref="A107:C107"/>
    <mergeCell ref="A114:C114"/>
    <mergeCell ref="A118:C118"/>
    <mergeCell ref="A119:C119"/>
    <mergeCell ref="A126:C126"/>
    <mergeCell ref="A125:C125"/>
    <mergeCell ref="A123:C123"/>
    <mergeCell ref="A310:C310"/>
    <mergeCell ref="A168:C168"/>
    <mergeCell ref="A187:C187"/>
    <mergeCell ref="A191:C191"/>
    <mergeCell ref="A214:C214"/>
    <mergeCell ref="A205:C205"/>
    <mergeCell ref="A194:C194"/>
    <mergeCell ref="A181:C181"/>
    <mergeCell ref="A182:C182"/>
    <mergeCell ref="A316:C316"/>
    <mergeCell ref="A169:C169"/>
    <mergeCell ref="A170:C170"/>
    <mergeCell ref="A171:C171"/>
    <mergeCell ref="A172:C172"/>
    <mergeCell ref="A309:C309"/>
    <mergeCell ref="A308:C308"/>
    <mergeCell ref="A285:C285"/>
    <mergeCell ref="A286:C286"/>
    <mergeCell ref="A295:C295"/>
    <mergeCell ref="A303:C303"/>
    <mergeCell ref="A293:C293"/>
    <mergeCell ref="A294:C294"/>
    <mergeCell ref="A299:C299"/>
    <mergeCell ref="A297:C297"/>
    <mergeCell ref="A301:C301"/>
    <mergeCell ref="A188:C188"/>
    <mergeCell ref="A202:C202"/>
    <mergeCell ref="A197:C197"/>
    <mergeCell ref="A261:C261"/>
    <mergeCell ref="A262:C262"/>
    <mergeCell ref="A318:C318"/>
    <mergeCell ref="A324:C324"/>
    <mergeCell ref="A334:C334"/>
    <mergeCell ref="A333:C333"/>
    <mergeCell ref="A313:C313"/>
    <mergeCell ref="A311:C311"/>
    <mergeCell ref="A320:C320"/>
    <mergeCell ref="A323:C323"/>
    <mergeCell ref="A328:C328"/>
    <mergeCell ref="A330:C330"/>
    <mergeCell ref="A331:C331"/>
    <mergeCell ref="A326:C326"/>
    <mergeCell ref="A314:C314"/>
    <mergeCell ref="A319:C319"/>
    <mergeCell ref="A317:C317"/>
    <mergeCell ref="A312:C312"/>
    <mergeCell ref="A359:C359"/>
    <mergeCell ref="A353:C353"/>
    <mergeCell ref="A354:C354"/>
    <mergeCell ref="A355:C355"/>
    <mergeCell ref="A358:C358"/>
    <mergeCell ref="A347:C347"/>
    <mergeCell ref="A348:C348"/>
    <mergeCell ref="A349:C349"/>
    <mergeCell ref="A350:C350"/>
    <mergeCell ref="A335:C335"/>
    <mergeCell ref="A53:C53"/>
    <mergeCell ref="A75:C75"/>
    <mergeCell ref="A42:C42"/>
    <mergeCell ref="A43:C43"/>
    <mergeCell ref="A44:C44"/>
    <mergeCell ref="A45:C45"/>
    <mergeCell ref="A46:C46"/>
    <mergeCell ref="A47:C47"/>
    <mergeCell ref="A49:C49"/>
    <mergeCell ref="A50:C50"/>
    <mergeCell ref="A51:C51"/>
    <mergeCell ref="A65:C65"/>
    <mergeCell ref="A66:C66"/>
    <mergeCell ref="A67:C67"/>
    <mergeCell ref="A64:C64"/>
    <mergeCell ref="A56:C56"/>
    <mergeCell ref="A57:C57"/>
    <mergeCell ref="A58:C58"/>
    <mergeCell ref="A59:C59"/>
    <mergeCell ref="A55:C55"/>
    <mergeCell ref="A159:C159"/>
    <mergeCell ref="A160:C160"/>
    <mergeCell ref="A161:C161"/>
    <mergeCell ref="A176:C176"/>
    <mergeCell ref="A177:C177"/>
    <mergeCell ref="A178:C178"/>
    <mergeCell ref="A179:C179"/>
    <mergeCell ref="A190:C190"/>
    <mergeCell ref="A192:C192"/>
    <mergeCell ref="A96:C96"/>
    <mergeCell ref="A102:C102"/>
    <mergeCell ref="A109:C109"/>
    <mergeCell ref="A111:C111"/>
    <mergeCell ref="A116:C116"/>
    <mergeCell ref="A117:C117"/>
    <mergeCell ref="A113:C113"/>
    <mergeCell ref="A122:C122"/>
    <mergeCell ref="A124:C124"/>
    <mergeCell ref="A120:C120"/>
    <mergeCell ref="A103:C103"/>
    <mergeCell ref="A115:C115"/>
    <mergeCell ref="A108:C108"/>
    <mergeCell ref="A110:C110"/>
    <mergeCell ref="A112:C112"/>
    <mergeCell ref="A121:C121"/>
    <mergeCell ref="A104:C104"/>
    <mergeCell ref="A105:C105"/>
    <mergeCell ref="A221:C221"/>
    <mergeCell ref="A227:C227"/>
    <mergeCell ref="A215:C215"/>
    <mergeCell ref="A216:C216"/>
    <mergeCell ref="A217:C217"/>
    <mergeCell ref="A226:C226"/>
    <mergeCell ref="A128:C128"/>
    <mergeCell ref="A135:C135"/>
    <mergeCell ref="A129:C129"/>
    <mergeCell ref="A130:C130"/>
    <mergeCell ref="A211:C211"/>
    <mergeCell ref="A218:C218"/>
    <mergeCell ref="A222:C222"/>
    <mergeCell ref="A186:C186"/>
    <mergeCell ref="A185:C185"/>
    <mergeCell ref="A193:C193"/>
    <mergeCell ref="A195:C195"/>
    <mergeCell ref="A196:C196"/>
    <mergeCell ref="A198:C198"/>
    <mergeCell ref="A203:C203"/>
    <mergeCell ref="A204:C204"/>
    <mergeCell ref="A199:C199"/>
    <mergeCell ref="A200:C200"/>
    <mergeCell ref="A201:C201"/>
    <mergeCell ref="A256:C256"/>
    <mergeCell ref="A307:C307"/>
    <mergeCell ref="A306:C306"/>
    <mergeCell ref="A266:C266"/>
    <mergeCell ref="A242:C242"/>
    <mergeCell ref="A243:C243"/>
    <mergeCell ref="A267:C267"/>
    <mergeCell ref="A268:C268"/>
    <mergeCell ref="A275:C275"/>
    <mergeCell ref="A278:C278"/>
    <mergeCell ref="A283:C283"/>
    <mergeCell ref="A289:C289"/>
    <mergeCell ref="A281:C281"/>
    <mergeCell ref="A284:C284"/>
    <mergeCell ref="A272:C272"/>
    <mergeCell ref="A273:C273"/>
    <mergeCell ref="A279:C279"/>
    <mergeCell ref="A280:C280"/>
    <mergeCell ref="A287:C287"/>
    <mergeCell ref="A257:C257"/>
    <mergeCell ref="A258:C258"/>
    <mergeCell ref="A259:C259"/>
    <mergeCell ref="A260:C260"/>
    <mergeCell ref="A132:C132"/>
    <mergeCell ref="A133:C133"/>
    <mergeCell ref="A134:C134"/>
    <mergeCell ref="A136:C136"/>
    <mergeCell ref="A138:C138"/>
    <mergeCell ref="A140:C140"/>
    <mergeCell ref="A141:C141"/>
    <mergeCell ref="A143:C143"/>
    <mergeCell ref="A254:C254"/>
    <mergeCell ref="A213:C213"/>
    <mergeCell ref="A240:C240"/>
    <mergeCell ref="A232:C232"/>
    <mergeCell ref="A234:C234"/>
    <mergeCell ref="A239:C239"/>
    <mergeCell ref="A219:C219"/>
    <mergeCell ref="A220:C220"/>
    <mergeCell ref="A223:C223"/>
    <mergeCell ref="A224:C224"/>
    <mergeCell ref="A230:C230"/>
    <mergeCell ref="A231:C231"/>
    <mergeCell ref="A228:C228"/>
    <mergeCell ref="A235:C235"/>
    <mergeCell ref="A236:C236"/>
    <mergeCell ref="A237:C237"/>
    <mergeCell ref="A101:C101"/>
    <mergeCell ref="A88:C88"/>
    <mergeCell ref="A95:C95"/>
    <mergeCell ref="A54:C54"/>
    <mergeCell ref="A60:C60"/>
    <mergeCell ref="A62:C62"/>
    <mergeCell ref="A76:C76"/>
    <mergeCell ref="A77:C77"/>
    <mergeCell ref="A131:C131"/>
    <mergeCell ref="A93:C93"/>
    <mergeCell ref="A94:C94"/>
    <mergeCell ref="A68:C68"/>
    <mergeCell ref="A31:C31"/>
    <mergeCell ref="A84:C84"/>
    <mergeCell ref="A85:C85"/>
    <mergeCell ref="A86:C86"/>
    <mergeCell ref="A87:C87"/>
    <mergeCell ref="A91:C91"/>
    <mergeCell ref="A92:C92"/>
    <mergeCell ref="A89:C89"/>
    <mergeCell ref="A90:C90"/>
    <mergeCell ref="A34:C34"/>
    <mergeCell ref="A39:C39"/>
    <mergeCell ref="A48:C48"/>
    <mergeCell ref="A72:C72"/>
    <mergeCell ref="A69:C69"/>
    <mergeCell ref="A74:C74"/>
    <mergeCell ref="A35:C35"/>
    <mergeCell ref="A36:C36"/>
    <mergeCell ref="A37:C37"/>
    <mergeCell ref="A38:C38"/>
    <mergeCell ref="A40:C40"/>
    <mergeCell ref="A41:C41"/>
    <mergeCell ref="A52:C52"/>
    <mergeCell ref="A157:C157"/>
    <mergeCell ref="A144:C144"/>
    <mergeCell ref="A145:C145"/>
    <mergeCell ref="A146:C146"/>
    <mergeCell ref="A147:C147"/>
    <mergeCell ref="A149:C149"/>
    <mergeCell ref="A151:C151"/>
    <mergeCell ref="A153:C153"/>
    <mergeCell ref="A247:C247"/>
    <mergeCell ref="A244:C244"/>
    <mergeCell ref="A245:C245"/>
    <mergeCell ref="A246:C246"/>
    <mergeCell ref="A206:C206"/>
    <mergeCell ref="A208:C208"/>
    <mergeCell ref="A209:C209"/>
    <mergeCell ref="A154:C154"/>
    <mergeCell ref="A156:C156"/>
    <mergeCell ref="A229:C229"/>
    <mergeCell ref="A233:C233"/>
    <mergeCell ref="A238:C238"/>
    <mergeCell ref="A241:C241"/>
    <mergeCell ref="A207:C207"/>
    <mergeCell ref="A210:C210"/>
    <mergeCell ref="A225:C225"/>
    <mergeCell ref="A362:C362"/>
    <mergeCell ref="A325:C325"/>
    <mergeCell ref="A250:C250"/>
    <mergeCell ref="A255:C255"/>
    <mergeCell ref="A264:C264"/>
    <mergeCell ref="A304:C304"/>
    <mergeCell ref="A270:C270"/>
    <mergeCell ref="A277:C277"/>
    <mergeCell ref="A274:C274"/>
    <mergeCell ref="A282:C282"/>
    <mergeCell ref="A288:C288"/>
    <mergeCell ref="A290:C290"/>
    <mergeCell ref="A292:C292"/>
    <mergeCell ref="A296:C296"/>
    <mergeCell ref="A298:C298"/>
    <mergeCell ref="A300:C300"/>
    <mergeCell ref="A271:C271"/>
    <mergeCell ref="A276:C276"/>
    <mergeCell ref="A291:C291"/>
    <mergeCell ref="A269:C269"/>
    <mergeCell ref="A263:C263"/>
    <mergeCell ref="A265:C265"/>
    <mergeCell ref="A252:C252"/>
    <mergeCell ref="A253:C253"/>
    <mergeCell ref="A360:C360"/>
    <mergeCell ref="A336:C336"/>
    <mergeCell ref="A248:C248"/>
    <mergeCell ref="A249:C249"/>
    <mergeCell ref="A251:C251"/>
    <mergeCell ref="A367:C367"/>
    <mergeCell ref="A368:C368"/>
    <mergeCell ref="A363:C363"/>
    <mergeCell ref="A364:C364"/>
    <mergeCell ref="A365:C365"/>
    <mergeCell ref="A366:C366"/>
    <mergeCell ref="A322:C322"/>
    <mergeCell ref="A327:C327"/>
    <mergeCell ref="A332:C332"/>
    <mergeCell ref="A337:C337"/>
    <mergeCell ref="A342:C342"/>
    <mergeCell ref="A345:C345"/>
    <mergeCell ref="A351:C351"/>
    <mergeCell ref="A356:C356"/>
    <mergeCell ref="A361:C361"/>
    <mergeCell ref="A344:C344"/>
    <mergeCell ref="A346:C346"/>
    <mergeCell ref="A352:C352"/>
    <mergeCell ref="A357:C35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2" manualBreakCount="2">
    <brk id="179" max="8" man="1"/>
    <brk id="37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DIO-SAŽETAK EUR</vt:lpstr>
      <vt:lpstr>Rebalans-prihodi</vt:lpstr>
      <vt:lpstr>Rebal-posebni dio</vt:lpstr>
      <vt:lpstr>'OPĆI DIO-SAŽETAK EUR'!Podrucje_ispisa</vt:lpstr>
      <vt:lpstr>'Rebalans-prihodi'!Podrucje_ispisa</vt:lpstr>
      <vt:lpstr>'Rebal-posebni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</cp:lastModifiedBy>
  <cp:lastPrinted>2023-07-17T06:33:01Z</cp:lastPrinted>
  <dcterms:created xsi:type="dcterms:W3CDTF">2022-08-12T12:51:27Z</dcterms:created>
  <dcterms:modified xsi:type="dcterms:W3CDTF">2023-12-07T09:05:01Z</dcterms:modified>
</cp:coreProperties>
</file>