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tarina\Desktop\Škola financije\Financijski plan 2024 (2025, 2026)\Izvršenje FP 30.6.2024\"/>
    </mc:Choice>
  </mc:AlternateContent>
  <bookViews>
    <workbookView xWindow="0" yWindow="0" windowWidth="28800" windowHeight="11700" activeTab="4"/>
  </bookViews>
  <sheets>
    <sheet name="SAŽETAK EUR" sheetId="1" r:id="rId1"/>
    <sheet name="Prihodi- ekonom.klasif" sheetId="8" r:id="rId2"/>
    <sheet name="Rashodi-ekonom.klasifik" sheetId="9" r:id="rId3"/>
    <sheet name="prih.rash.-izvori financiranja" sheetId="10" r:id="rId4"/>
    <sheet name="POSEBNI DIO" sheetId="7" r:id="rId5"/>
    <sheet name="Rashodi prema funkcijskoj kl" sheetId="5" r:id="rId6"/>
    <sheet name=" Račun prihoda i rashoda" sheetId="3" r:id="rId7"/>
    <sheet name="Račun financiranja" sheetId="6" r:id="rId8"/>
  </sheets>
  <definedNames>
    <definedName name="_xlnm._FilterDatabase" localSheetId="4" hidden="1">'POSEBNI DIO'!$A$5:$I$468</definedName>
    <definedName name="_xlnm.Print_Area" localSheetId="6">' Račun prihoda i rashoda'!$A$1:$I$71</definedName>
    <definedName name="_xlnm.Print_Area" localSheetId="4">'POSEBNI DIO'!$A$1:$I$559</definedName>
    <definedName name="_xlnm.Print_Area" localSheetId="7">'Račun financiranja'!$A$1:$I$19</definedName>
    <definedName name="_xlnm.Print_Area" localSheetId="5">'Rashodi prema funkcijskoj kl'!$A$1:$F$22</definedName>
    <definedName name="_xlnm.Print_Area" localSheetId="0">'SAŽETAK EUR'!$A$1:$J$40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7" l="1"/>
  <c r="G29" i="7"/>
  <c r="H29" i="7"/>
  <c r="I470" i="7"/>
  <c r="I469" i="7"/>
  <c r="I468" i="7"/>
  <c r="I466" i="7"/>
  <c r="I465" i="7"/>
  <c r="I464" i="7"/>
  <c r="I463" i="7"/>
  <c r="I461" i="7"/>
  <c r="I460" i="7"/>
  <c r="I459" i="7"/>
  <c r="I458" i="7"/>
  <c r="I457" i="7"/>
  <c r="I455" i="7"/>
  <c r="I454" i="7"/>
  <c r="I453" i="7"/>
  <c r="I450" i="7"/>
  <c r="I449" i="7"/>
  <c r="I448" i="7"/>
  <c r="I447" i="7"/>
  <c r="I445" i="7"/>
  <c r="I444" i="7"/>
  <c r="I443" i="7"/>
  <c r="I442" i="7"/>
  <c r="I441" i="7"/>
  <c r="I433" i="7"/>
  <c r="I432" i="7"/>
  <c r="I431" i="7"/>
  <c r="I428" i="7"/>
  <c r="I423" i="7"/>
  <c r="I422" i="7"/>
  <c r="I421" i="7"/>
  <c r="I420" i="7"/>
  <c r="I417" i="7"/>
  <c r="I416" i="7"/>
  <c r="I415" i="7"/>
  <c r="I414" i="7"/>
  <c r="I412" i="7"/>
  <c r="I411" i="7"/>
  <c r="I410" i="7"/>
  <c r="I407" i="7"/>
  <c r="I406" i="7"/>
  <c r="I405" i="7"/>
  <c r="I404" i="7"/>
  <c r="I403" i="7"/>
  <c r="I401" i="7"/>
  <c r="I400" i="7"/>
  <c r="I393" i="7"/>
  <c r="I392" i="7"/>
  <c r="I385" i="7"/>
  <c r="I384" i="7"/>
  <c r="I383" i="7"/>
  <c r="I382" i="7"/>
  <c r="I381" i="7"/>
  <c r="I379" i="7"/>
  <c r="I378" i="7"/>
  <c r="I377" i="7"/>
  <c r="I375" i="7"/>
  <c r="I373" i="7"/>
  <c r="I372" i="7"/>
  <c r="I371" i="7"/>
  <c r="I370" i="7"/>
  <c r="I368" i="7"/>
  <c r="I365" i="7"/>
  <c r="I364" i="7"/>
  <c r="I363" i="7"/>
  <c r="I361" i="7"/>
  <c r="I360" i="7"/>
  <c r="I337" i="7"/>
  <c r="I336" i="7"/>
  <c r="I335" i="7"/>
  <c r="I334" i="7"/>
  <c r="I332" i="7"/>
  <c r="I331" i="7"/>
  <c r="I330" i="7"/>
  <c r="I327" i="7"/>
  <c r="I324" i="7"/>
  <c r="I323" i="7"/>
  <c r="I322" i="7"/>
  <c r="I321" i="7"/>
  <c r="I288" i="7"/>
  <c r="I287" i="7"/>
  <c r="I286" i="7"/>
  <c r="I283" i="7"/>
  <c r="I282" i="7"/>
  <c r="I268" i="7"/>
  <c r="I264" i="7"/>
  <c r="I263" i="7"/>
  <c r="I262" i="7"/>
  <c r="I261" i="7"/>
  <c r="I260" i="7"/>
  <c r="I259" i="7"/>
  <c r="I257" i="7"/>
  <c r="I256" i="7"/>
  <c r="I255" i="7"/>
  <c r="I254" i="7"/>
  <c r="I252" i="7"/>
  <c r="I251" i="7"/>
  <c r="I250" i="7"/>
  <c r="I249" i="7"/>
  <c r="I248" i="7"/>
  <c r="I247" i="7"/>
  <c r="I245" i="7"/>
  <c r="I244" i="7"/>
  <c r="I243" i="7"/>
  <c r="I242" i="7"/>
  <c r="I241" i="7"/>
  <c r="I239" i="7"/>
  <c r="I238" i="7"/>
  <c r="I237" i="7"/>
  <c r="I236" i="7"/>
  <c r="I234" i="7"/>
  <c r="I233" i="7"/>
  <c r="I232" i="7"/>
  <c r="I231" i="7"/>
  <c r="I230" i="7"/>
  <c r="I226" i="7"/>
  <c r="I225" i="7"/>
  <c r="I224" i="7"/>
  <c r="I223" i="7"/>
  <c r="I222" i="7"/>
  <c r="I221" i="7"/>
  <c r="I176" i="7"/>
  <c r="I175" i="7"/>
  <c r="I173" i="7"/>
  <c r="I171" i="7"/>
  <c r="I169" i="7"/>
  <c r="I168" i="7"/>
  <c r="I167" i="7"/>
  <c r="I166" i="7"/>
  <c r="I163" i="7"/>
  <c r="I162" i="7"/>
  <c r="I160" i="7"/>
  <c r="I158" i="7"/>
  <c r="I156" i="7"/>
  <c r="I155" i="7"/>
  <c r="I154" i="7"/>
  <c r="I153" i="7"/>
  <c r="I152" i="7"/>
  <c r="I149" i="7"/>
  <c r="I148" i="7"/>
  <c r="I146" i="7"/>
  <c r="I144" i="7"/>
  <c r="I142" i="7"/>
  <c r="I141" i="7"/>
  <c r="I140" i="7"/>
  <c r="I139" i="7"/>
  <c r="I136" i="7"/>
  <c r="I135" i="7"/>
  <c r="I133" i="7"/>
  <c r="I131" i="7"/>
  <c r="I129" i="7"/>
  <c r="I128" i="7"/>
  <c r="I127" i="7"/>
  <c r="I126" i="7"/>
  <c r="I125" i="7"/>
  <c r="I109" i="7"/>
  <c r="I108" i="7"/>
  <c r="I104" i="7"/>
  <c r="I102" i="7"/>
  <c r="I101" i="7"/>
  <c r="I100" i="7"/>
  <c r="I99" i="7"/>
  <c r="I98" i="7"/>
  <c r="I96" i="7"/>
  <c r="I95" i="7"/>
  <c r="I94" i="7"/>
  <c r="I93" i="7"/>
  <c r="I92" i="7"/>
  <c r="I90" i="7"/>
  <c r="I89" i="7"/>
  <c r="I88" i="7"/>
  <c r="I87" i="7"/>
  <c r="I86" i="7"/>
  <c r="I83" i="7"/>
  <c r="I82" i="7"/>
  <c r="I81" i="7"/>
  <c r="I80" i="7"/>
  <c r="I79" i="7"/>
  <c r="I76" i="7"/>
  <c r="I74" i="7"/>
  <c r="I71" i="7"/>
  <c r="I70" i="7"/>
  <c r="I69" i="7"/>
  <c r="I68" i="7"/>
  <c r="I67" i="7"/>
  <c r="I66" i="7"/>
  <c r="I59" i="7"/>
  <c r="I58" i="7"/>
  <c r="I57" i="7"/>
  <c r="I56" i="7"/>
  <c r="I55" i="7"/>
  <c r="I53" i="7"/>
  <c r="I52" i="7"/>
  <c r="I47" i="7"/>
  <c r="I38" i="7"/>
  <c r="I30" i="7"/>
  <c r="I29" i="7"/>
  <c r="I23" i="7"/>
  <c r="I22" i="7"/>
  <c r="I21" i="7"/>
  <c r="I20" i="7"/>
  <c r="I17" i="7"/>
  <c r="I16" i="7"/>
  <c r="I15" i="7"/>
  <c r="I14" i="7"/>
  <c r="I13" i="7"/>
  <c r="I10" i="7"/>
  <c r="I9" i="7"/>
  <c r="I8" i="7"/>
  <c r="I7" i="7"/>
  <c r="I6" i="7"/>
  <c r="I11" i="7"/>
  <c r="H11" i="7"/>
  <c r="G11" i="7"/>
  <c r="F11" i="7"/>
  <c r="H470" i="7"/>
  <c r="G470" i="7"/>
  <c r="F470" i="7"/>
  <c r="H466" i="7"/>
  <c r="G466" i="7"/>
  <c r="F466" i="7"/>
  <c r="H461" i="7"/>
  <c r="G461" i="7"/>
  <c r="F461" i="7"/>
  <c r="H445" i="7"/>
  <c r="G445" i="7"/>
  <c r="F445" i="7"/>
  <c r="H455" i="7"/>
  <c r="G455" i="7"/>
  <c r="F455" i="7"/>
  <c r="F450" i="7"/>
  <c r="H450" i="7"/>
  <c r="G450" i="7"/>
  <c r="G433" i="7"/>
  <c r="H433" i="7"/>
  <c r="F433" i="7"/>
  <c r="G422" i="7"/>
  <c r="H422" i="7"/>
  <c r="F422" i="7"/>
  <c r="F428" i="7"/>
  <c r="G423" i="7"/>
  <c r="H423" i="7"/>
  <c r="F423" i="7"/>
  <c r="H428" i="7"/>
  <c r="G428" i="7"/>
  <c r="H417" i="7"/>
  <c r="G417" i="7"/>
  <c r="F417" i="7"/>
  <c r="F412" i="7"/>
  <c r="H412" i="7"/>
  <c r="G412" i="7"/>
  <c r="G407" i="7"/>
  <c r="H407" i="7"/>
  <c r="F407" i="7"/>
  <c r="G392" i="7"/>
  <c r="H392" i="7"/>
  <c r="F392" i="7"/>
  <c r="G384" i="7"/>
  <c r="H384" i="7"/>
  <c r="F384" i="7"/>
  <c r="H401" i="7"/>
  <c r="G401" i="7"/>
  <c r="F401" i="7"/>
  <c r="G397" i="7"/>
  <c r="H397" i="7"/>
  <c r="I397" i="7" s="1"/>
  <c r="F397" i="7"/>
  <c r="G395" i="7"/>
  <c r="H395" i="7"/>
  <c r="F395" i="7"/>
  <c r="G393" i="7"/>
  <c r="H393" i="7"/>
  <c r="F393" i="7"/>
  <c r="G389" i="7"/>
  <c r="H389" i="7"/>
  <c r="I389" i="7" s="1"/>
  <c r="F389" i="7"/>
  <c r="F387" i="7"/>
  <c r="F385" i="7"/>
  <c r="H387" i="7"/>
  <c r="I387" i="7" s="1"/>
  <c r="G387" i="7"/>
  <c r="H385" i="7"/>
  <c r="G385" i="7"/>
  <c r="G379" i="7"/>
  <c r="H379" i="7"/>
  <c r="F379" i="7"/>
  <c r="G375" i="7"/>
  <c r="H375" i="7"/>
  <c r="F375" i="7"/>
  <c r="G373" i="7"/>
  <c r="H373" i="7"/>
  <c r="F373" i="7"/>
  <c r="G365" i="7"/>
  <c r="G364" i="7" s="1"/>
  <c r="H365" i="7"/>
  <c r="F365" i="7"/>
  <c r="F364" i="7" s="1"/>
  <c r="H368" i="7"/>
  <c r="G368" i="7"/>
  <c r="F368" i="7"/>
  <c r="G361" i="7"/>
  <c r="H361" i="7"/>
  <c r="F361" i="7"/>
  <c r="F355" i="7"/>
  <c r="H355" i="7"/>
  <c r="G346" i="7"/>
  <c r="I346" i="7" s="1"/>
  <c r="H346" i="7"/>
  <c r="F346" i="7"/>
  <c r="G341" i="7"/>
  <c r="H341" i="7"/>
  <c r="F341" i="7"/>
  <c r="F337" i="7"/>
  <c r="F336" i="7" s="1"/>
  <c r="H337" i="7"/>
  <c r="H336" i="7" s="1"/>
  <c r="G337" i="7"/>
  <c r="F327" i="7"/>
  <c r="G324" i="7"/>
  <c r="H324" i="7"/>
  <c r="H323" i="7" s="1"/>
  <c r="F324" i="7"/>
  <c r="F323" i="7" s="1"/>
  <c r="H332" i="7"/>
  <c r="G332" i="7"/>
  <c r="F332" i="7"/>
  <c r="H327" i="7"/>
  <c r="G327" i="7"/>
  <c r="G323" i="7" s="1"/>
  <c r="G288" i="7"/>
  <c r="H288" i="7"/>
  <c r="F288" i="7"/>
  <c r="H292" i="7"/>
  <c r="G292" i="7"/>
  <c r="F292" i="7"/>
  <c r="G283" i="7"/>
  <c r="H283" i="7"/>
  <c r="F283" i="7"/>
  <c r="G279" i="7"/>
  <c r="H279" i="7"/>
  <c r="F279" i="7"/>
  <c r="G275" i="7"/>
  <c r="H275" i="7"/>
  <c r="F275" i="7"/>
  <c r="G272" i="7"/>
  <c r="H272" i="7"/>
  <c r="F272" i="7"/>
  <c r="G268" i="7"/>
  <c r="H268" i="7"/>
  <c r="F268" i="7"/>
  <c r="G264" i="7"/>
  <c r="H264" i="7"/>
  <c r="F264" i="7"/>
  <c r="G252" i="7"/>
  <c r="H252" i="7"/>
  <c r="F252" i="7"/>
  <c r="G257" i="7"/>
  <c r="H257" i="7"/>
  <c r="F257" i="7"/>
  <c r="G245" i="7"/>
  <c r="H245" i="7"/>
  <c r="F245" i="7"/>
  <c r="F226" i="7"/>
  <c r="H226" i="7"/>
  <c r="G226" i="7"/>
  <c r="F183" i="7"/>
  <c r="G183" i="7"/>
  <c r="H183" i="7"/>
  <c r="F185" i="7"/>
  <c r="G185" i="7"/>
  <c r="H185" i="7"/>
  <c r="F187" i="7"/>
  <c r="G187" i="7"/>
  <c r="H187" i="7"/>
  <c r="E189" i="7"/>
  <c r="F189" i="7"/>
  <c r="G189" i="7"/>
  <c r="H189" i="7"/>
  <c r="I189" i="7"/>
  <c r="F190" i="7"/>
  <c r="G190" i="7"/>
  <c r="H190" i="7"/>
  <c r="I190" i="7" s="1"/>
  <c r="E195" i="7"/>
  <c r="F195" i="7"/>
  <c r="G195" i="7"/>
  <c r="H195" i="7"/>
  <c r="I195" i="7"/>
  <c r="E199" i="7"/>
  <c r="F199" i="7"/>
  <c r="G199" i="7"/>
  <c r="H199" i="7"/>
  <c r="I199" i="7"/>
  <c r="E205" i="7"/>
  <c r="F205" i="7"/>
  <c r="F204" i="7" s="1"/>
  <c r="F203" i="7" s="1"/>
  <c r="G205" i="7"/>
  <c r="H205" i="7"/>
  <c r="I205" i="7"/>
  <c r="E209" i="7"/>
  <c r="F209" i="7"/>
  <c r="G209" i="7"/>
  <c r="H209" i="7"/>
  <c r="I209" i="7"/>
  <c r="E214" i="7"/>
  <c r="F214" i="7"/>
  <c r="G214" i="7"/>
  <c r="H214" i="7"/>
  <c r="I214" i="7"/>
  <c r="E218" i="7"/>
  <c r="F218" i="7"/>
  <c r="G218" i="7"/>
  <c r="H218" i="7"/>
  <c r="I218" i="7"/>
  <c r="H176" i="7"/>
  <c r="G176" i="7"/>
  <c r="F176" i="7"/>
  <c r="H173" i="7"/>
  <c r="G173" i="7"/>
  <c r="F173" i="7"/>
  <c r="H171" i="7"/>
  <c r="G171" i="7"/>
  <c r="F171" i="7"/>
  <c r="H169" i="7"/>
  <c r="G169" i="7"/>
  <c r="F169" i="7"/>
  <c r="H163" i="7"/>
  <c r="G163" i="7"/>
  <c r="F163" i="7"/>
  <c r="H160" i="7"/>
  <c r="G160" i="7"/>
  <c r="F160" i="7"/>
  <c r="H158" i="7"/>
  <c r="G158" i="7"/>
  <c r="F158" i="7"/>
  <c r="H156" i="7"/>
  <c r="G156" i="7"/>
  <c r="F156" i="7"/>
  <c r="H149" i="7"/>
  <c r="G149" i="7"/>
  <c r="F149" i="7"/>
  <c r="H146" i="7"/>
  <c r="G146" i="7"/>
  <c r="F146" i="7"/>
  <c r="H144" i="7"/>
  <c r="G144" i="7"/>
  <c r="F144" i="7"/>
  <c r="H142" i="7"/>
  <c r="G142" i="7"/>
  <c r="F142" i="7"/>
  <c r="H136" i="7"/>
  <c r="G136" i="7"/>
  <c r="F136" i="7"/>
  <c r="G129" i="7"/>
  <c r="H129" i="7"/>
  <c r="H133" i="7"/>
  <c r="G133" i="7"/>
  <c r="F133" i="7"/>
  <c r="H131" i="7"/>
  <c r="G131" i="7"/>
  <c r="F131" i="7"/>
  <c r="F129" i="7"/>
  <c r="H122" i="7"/>
  <c r="G122" i="7"/>
  <c r="F122" i="7"/>
  <c r="G119" i="7"/>
  <c r="H119" i="7"/>
  <c r="I119" i="7" s="1"/>
  <c r="G117" i="7"/>
  <c r="H117" i="7"/>
  <c r="G115" i="7"/>
  <c r="H115" i="7"/>
  <c r="F119" i="7"/>
  <c r="F117" i="7"/>
  <c r="F115" i="7"/>
  <c r="G109" i="7"/>
  <c r="H109" i="7"/>
  <c r="F109" i="7"/>
  <c r="G106" i="7"/>
  <c r="H106" i="7"/>
  <c r="I106" i="7" s="1"/>
  <c r="G104" i="7"/>
  <c r="H104" i="7"/>
  <c r="G102" i="7"/>
  <c r="H102" i="7"/>
  <c r="F106" i="7"/>
  <c r="F104" i="7"/>
  <c r="F102" i="7"/>
  <c r="G96" i="7"/>
  <c r="F96" i="7"/>
  <c r="G90" i="7"/>
  <c r="H90" i="7"/>
  <c r="F90" i="7"/>
  <c r="G83" i="7"/>
  <c r="H83" i="7"/>
  <c r="F83" i="7"/>
  <c r="G76" i="7"/>
  <c r="H76" i="7"/>
  <c r="G74" i="7"/>
  <c r="H74" i="7"/>
  <c r="F74" i="7"/>
  <c r="G71" i="7"/>
  <c r="H71" i="7"/>
  <c r="F71" i="7"/>
  <c r="G59" i="7"/>
  <c r="H59" i="7"/>
  <c r="F59" i="7"/>
  <c r="H23" i="7"/>
  <c r="G23" i="7"/>
  <c r="F23" i="7"/>
  <c r="G18" i="7"/>
  <c r="H18" i="7"/>
  <c r="F18" i="7"/>
  <c r="F47" i="7"/>
  <c r="H30" i="7"/>
  <c r="G30" i="7"/>
  <c r="H38" i="7"/>
  <c r="G38" i="7"/>
  <c r="F38" i="7"/>
  <c r="G53" i="7"/>
  <c r="H53" i="7"/>
  <c r="F53" i="7"/>
  <c r="G47" i="7"/>
  <c r="H47" i="7"/>
  <c r="F30" i="7"/>
  <c r="I395" i="7" l="1"/>
  <c r="I341" i="7"/>
  <c r="H364" i="7"/>
  <c r="I292" i="7"/>
  <c r="G287" i="7"/>
  <c r="F101" i="7"/>
  <c r="I275" i="7"/>
  <c r="I187" i="7"/>
  <c r="G263" i="7"/>
  <c r="F287" i="7"/>
  <c r="I272" i="7"/>
  <c r="I279" i="7"/>
  <c r="F128" i="7"/>
  <c r="H155" i="7"/>
  <c r="F213" i="7"/>
  <c r="F212" i="7" s="1"/>
  <c r="H194" i="7"/>
  <c r="H193" i="7" s="1"/>
  <c r="F263" i="7"/>
  <c r="H287" i="7"/>
  <c r="H263" i="7"/>
  <c r="G194" i="7"/>
  <c r="G193" i="7" s="1"/>
  <c r="E213" i="7"/>
  <c r="E212" i="7" s="1"/>
  <c r="F194" i="7"/>
  <c r="F193" i="7" s="1"/>
  <c r="F182" i="7"/>
  <c r="F181" i="7" s="1"/>
  <c r="F180" i="7" s="1"/>
  <c r="G204" i="7"/>
  <c r="G203" i="7" s="1"/>
  <c r="E194" i="7"/>
  <c r="E193" i="7" s="1"/>
  <c r="G213" i="7"/>
  <c r="G212" i="7" s="1"/>
  <c r="E204" i="7"/>
  <c r="E203" i="7" s="1"/>
  <c r="H213" i="7"/>
  <c r="H212" i="7" s="1"/>
  <c r="G182" i="7"/>
  <c r="G181" i="7" s="1"/>
  <c r="G180" i="7" s="1"/>
  <c r="H182" i="7"/>
  <c r="H181" i="7" s="1"/>
  <c r="H180" i="7" s="1"/>
  <c r="H204" i="7"/>
  <c r="H203" i="7" s="1"/>
  <c r="I213" i="7"/>
  <c r="I212" i="7" s="1"/>
  <c r="I194" i="7"/>
  <c r="I193" i="7" s="1"/>
  <c r="I204" i="7"/>
  <c r="I203" i="7" s="1"/>
  <c r="F202" i="7"/>
  <c r="G70" i="7"/>
  <c r="F141" i="7"/>
  <c r="G141" i="7"/>
  <c r="I183" i="7"/>
  <c r="I18" i="7"/>
  <c r="I185" i="7"/>
  <c r="I182" i="7" s="1"/>
  <c r="I181" i="7" s="1"/>
  <c r="I180" i="7" s="1"/>
  <c r="G101" i="7"/>
  <c r="G128" i="7"/>
  <c r="F155" i="7"/>
  <c r="F168" i="7"/>
  <c r="F114" i="7"/>
  <c r="G155" i="7"/>
  <c r="G168" i="7"/>
  <c r="H128" i="7"/>
  <c r="H168" i="7"/>
  <c r="I117" i="7"/>
  <c r="I122" i="7"/>
  <c r="H70" i="7"/>
  <c r="H141" i="7"/>
  <c r="H101" i="7"/>
  <c r="I115" i="7"/>
  <c r="F29" i="7"/>
  <c r="H179" i="7" l="1"/>
  <c r="I202" i="7"/>
  <c r="G202" i="7"/>
  <c r="F179" i="7"/>
  <c r="G179" i="7"/>
  <c r="E202" i="7"/>
  <c r="H202" i="7"/>
  <c r="I179" i="7"/>
  <c r="D28" i="8" l="1"/>
  <c r="D29" i="8"/>
  <c r="D30" i="8"/>
  <c r="D18" i="8"/>
  <c r="H9" i="1" l="1"/>
  <c r="F9" i="1"/>
  <c r="H12" i="1"/>
  <c r="G13" i="1"/>
  <c r="H13" i="1"/>
  <c r="F13" i="1"/>
  <c r="F12" i="1"/>
  <c r="D26" i="10"/>
  <c r="J13" i="1" l="1"/>
  <c r="I13" i="1"/>
  <c r="I12" i="1"/>
  <c r="I9" i="1"/>
  <c r="J20" i="1"/>
  <c r="J19" i="1"/>
  <c r="E26" i="10"/>
  <c r="E21" i="9"/>
  <c r="E16" i="9"/>
  <c r="F20" i="9"/>
  <c r="E12" i="8"/>
  <c r="E15" i="8"/>
  <c r="D15" i="8"/>
  <c r="C15" i="8"/>
  <c r="C24" i="8"/>
  <c r="D24" i="8"/>
  <c r="E24" i="8"/>
  <c r="E8" i="8"/>
  <c r="C45" i="10" l="1"/>
  <c r="D12" i="10"/>
  <c r="G11" i="10"/>
  <c r="K10" i="10"/>
  <c r="C12" i="10"/>
  <c r="F11" i="10" l="1"/>
  <c r="D8" i="10"/>
  <c r="F6" i="10"/>
  <c r="C33" i="8"/>
  <c r="C32" i="8"/>
  <c r="C31" i="8" s="1"/>
  <c r="C28" i="8"/>
  <c r="C27" i="8"/>
  <c r="C21" i="8"/>
  <c r="C20" i="8"/>
  <c r="C18" i="8"/>
  <c r="C17" i="8" s="1"/>
  <c r="C13" i="8"/>
  <c r="C12" i="8" s="1"/>
  <c r="C8" i="8"/>
  <c r="C69" i="9"/>
  <c r="C68" i="9"/>
  <c r="C66" i="9"/>
  <c r="C61" i="9"/>
  <c r="C59" i="9"/>
  <c r="C54" i="9"/>
  <c r="C53" i="9"/>
  <c r="C51" i="9"/>
  <c r="C50" i="9" s="1"/>
  <c r="C47" i="9"/>
  <c r="C46" i="9" s="1"/>
  <c r="C38" i="9"/>
  <c r="C28" i="9"/>
  <c r="C21" i="9"/>
  <c r="C16" i="9"/>
  <c r="C12" i="9"/>
  <c r="C10" i="9"/>
  <c r="C8" i="9"/>
  <c r="G42" i="10"/>
  <c r="F38" i="10"/>
  <c r="G34" i="10"/>
  <c r="E32" i="10"/>
  <c r="D32" i="10"/>
  <c r="C32" i="10"/>
  <c r="G31" i="10"/>
  <c r="G30" i="10"/>
  <c r="G26" i="10"/>
  <c r="K14" i="10"/>
  <c r="K6" i="10"/>
  <c r="I6" i="10"/>
  <c r="G6" i="10"/>
  <c r="E69" i="9"/>
  <c r="D69" i="9"/>
  <c r="E68" i="9"/>
  <c r="D68" i="9"/>
  <c r="E66" i="9"/>
  <c r="G66" i="9" s="1"/>
  <c r="D66" i="9"/>
  <c r="E61" i="9"/>
  <c r="G61" i="9" s="1"/>
  <c r="D61" i="9"/>
  <c r="E59" i="9"/>
  <c r="D59" i="9"/>
  <c r="D58" i="9" s="1"/>
  <c r="D57" i="9" s="1"/>
  <c r="E54" i="9"/>
  <c r="D54" i="9"/>
  <c r="D53" i="9" s="1"/>
  <c r="E53" i="9"/>
  <c r="E51" i="9"/>
  <c r="G51" i="9" s="1"/>
  <c r="D51" i="9"/>
  <c r="D50" i="9" s="1"/>
  <c r="F49" i="9"/>
  <c r="F48" i="9"/>
  <c r="E47" i="9"/>
  <c r="G47" i="9" s="1"/>
  <c r="D47" i="9"/>
  <c r="D46" i="9" s="1"/>
  <c r="F45" i="9"/>
  <c r="F44" i="9"/>
  <c r="F43" i="9"/>
  <c r="F42" i="9"/>
  <c r="F41" i="9"/>
  <c r="E38" i="9"/>
  <c r="G38" i="9" s="1"/>
  <c r="D38" i="9"/>
  <c r="F37" i="9"/>
  <c r="F36" i="9"/>
  <c r="F35" i="9"/>
  <c r="F34" i="9"/>
  <c r="F33" i="9"/>
  <c r="F32" i="9"/>
  <c r="F30" i="9"/>
  <c r="F29" i="9"/>
  <c r="E28" i="9"/>
  <c r="G28" i="9" s="1"/>
  <c r="D28" i="9"/>
  <c r="F26" i="9"/>
  <c r="F25" i="9"/>
  <c r="F24" i="9"/>
  <c r="F23" i="9"/>
  <c r="D21" i="9"/>
  <c r="F19" i="9"/>
  <c r="F18" i="9"/>
  <c r="F17" i="9"/>
  <c r="D16" i="9"/>
  <c r="D15" i="9" s="1"/>
  <c r="F14" i="9"/>
  <c r="E12" i="9"/>
  <c r="G12" i="9" s="1"/>
  <c r="D12" i="9"/>
  <c r="F11" i="9"/>
  <c r="E10" i="9"/>
  <c r="G10" i="9" s="1"/>
  <c r="D10" i="9"/>
  <c r="F9" i="9"/>
  <c r="E8" i="9"/>
  <c r="D8" i="9"/>
  <c r="D7" i="9" s="1"/>
  <c r="D6" i="9" s="1"/>
  <c r="D5" i="9" s="1"/>
  <c r="E33" i="8"/>
  <c r="E32" i="8" s="1"/>
  <c r="E31" i="8" s="1"/>
  <c r="D33" i="8"/>
  <c r="D32" i="8" s="1"/>
  <c r="D31" i="8" s="1"/>
  <c r="E28" i="8"/>
  <c r="E27" i="8" s="1"/>
  <c r="D27" i="8"/>
  <c r="F25" i="8"/>
  <c r="F23" i="8"/>
  <c r="E21" i="8"/>
  <c r="E20" i="8" s="1"/>
  <c r="D21" i="8"/>
  <c r="D20" i="8" s="1"/>
  <c r="E18" i="8"/>
  <c r="E17" i="8" s="1"/>
  <c r="D17" i="8"/>
  <c r="E13" i="8"/>
  <c r="E6" i="8" s="1"/>
  <c r="E5" i="8" s="1"/>
  <c r="I8" i="8" s="1"/>
  <c r="D13" i="8"/>
  <c r="D12" i="8" s="1"/>
  <c r="F9" i="8"/>
  <c r="G27" i="8" l="1"/>
  <c r="E58" i="9"/>
  <c r="E57" i="9" s="1"/>
  <c r="E7" i="9"/>
  <c r="F12" i="9"/>
  <c r="G28" i="8"/>
  <c r="C6" i="8"/>
  <c r="C5" i="8" s="1"/>
  <c r="F8" i="8"/>
  <c r="C7" i="8"/>
  <c r="G21" i="8"/>
  <c r="G18" i="8"/>
  <c r="M6" i="10"/>
  <c r="C58" i="9"/>
  <c r="C57" i="9" s="1"/>
  <c r="C15" i="9"/>
  <c r="F21" i="9"/>
  <c r="C7" i="9"/>
  <c r="F12" i="8"/>
  <c r="F34" i="10"/>
  <c r="G38" i="10"/>
  <c r="F26" i="10"/>
  <c r="F42" i="10"/>
  <c r="G7" i="9"/>
  <c r="F16" i="9"/>
  <c r="I57" i="9"/>
  <c r="F10" i="9"/>
  <c r="E15" i="9"/>
  <c r="G21" i="9"/>
  <c r="F13" i="9"/>
  <c r="G16" i="9"/>
  <c r="F8" i="9"/>
  <c r="F22" i="9"/>
  <c r="E46" i="9"/>
  <c r="F47" i="9"/>
  <c r="F61" i="9"/>
  <c r="G8" i="9"/>
  <c r="F38" i="9"/>
  <c r="E50" i="9"/>
  <c r="G50" i="9" s="1"/>
  <c r="F28" i="9"/>
  <c r="F18" i="8"/>
  <c r="F17" i="8"/>
  <c r="F28" i="8"/>
  <c r="F27" i="8"/>
  <c r="F13" i="8"/>
  <c r="G20" i="8"/>
  <c r="G24" i="8"/>
  <c r="G17" i="8"/>
  <c r="F19" i="8"/>
  <c r="F29" i="8"/>
  <c r="E7" i="8"/>
  <c r="F14" i="8"/>
  <c r="F24" i="8"/>
  <c r="F58" i="9" l="1"/>
  <c r="G58" i="9"/>
  <c r="C6" i="9"/>
  <c r="C5" i="9" s="1"/>
  <c r="G15" i="9"/>
  <c r="F57" i="9"/>
  <c r="G57" i="9"/>
  <c r="E6" i="9"/>
  <c r="F46" i="9"/>
  <c r="G46" i="9"/>
  <c r="F15" i="9"/>
  <c r="F21" i="8"/>
  <c r="F20" i="8"/>
  <c r="I5" i="8"/>
  <c r="G7" i="8"/>
  <c r="F7" i="8"/>
  <c r="E5" i="9" l="1"/>
  <c r="G6" i="9"/>
  <c r="F7" i="9"/>
  <c r="F5" i="8"/>
  <c r="F6" i="9" l="1"/>
  <c r="G5" i="9"/>
  <c r="F5" i="9"/>
  <c r="H460" i="7" l="1"/>
  <c r="H459" i="7" s="1"/>
  <c r="H458" i="7" s="1"/>
  <c r="H469" i="7"/>
  <c r="H465" i="7"/>
  <c r="G469" i="7"/>
  <c r="F469" i="7"/>
  <c r="E469" i="7"/>
  <c r="H454" i="7"/>
  <c r="H453" i="7" s="1"/>
  <c r="H449" i="7"/>
  <c r="H448" i="7" s="1"/>
  <c r="H444" i="7"/>
  <c r="H443" i="7" s="1"/>
  <c r="H442" i="7" s="1"/>
  <c r="H437" i="7"/>
  <c r="H436" i="7" s="1"/>
  <c r="H435" i="7" s="1"/>
  <c r="H432" i="7"/>
  <c r="H431" i="7" s="1"/>
  <c r="H421" i="7"/>
  <c r="H406" i="7"/>
  <c r="H405" i="7" s="1"/>
  <c r="H416" i="7"/>
  <c r="H415" i="7" s="1"/>
  <c r="H414" i="7" s="1"/>
  <c r="G406" i="7"/>
  <c r="F372" i="7"/>
  <c r="G372" i="7"/>
  <c r="H372" i="7"/>
  <c r="H371" i="7" s="1"/>
  <c r="H464" i="7" l="1"/>
  <c r="H463" i="7" s="1"/>
  <c r="H457" i="7" s="1"/>
  <c r="H447" i="7"/>
  <c r="H441" i="7" s="1"/>
  <c r="H420" i="7"/>
  <c r="H148" i="7"/>
  <c r="H135" i="7"/>
  <c r="F77" i="7"/>
  <c r="F76" i="7" s="1"/>
  <c r="F70" i="7" s="1"/>
  <c r="H378" i="7"/>
  <c r="H377" i="7" s="1"/>
  <c r="H370" i="7" s="1"/>
  <c r="F378" i="7"/>
  <c r="F377" i="7" s="1"/>
  <c r="G378" i="7"/>
  <c r="G377" i="7" s="1"/>
  <c r="E380" i="7"/>
  <c r="E378" i="7" s="1"/>
  <c r="E374" i="7"/>
  <c r="E246" i="7"/>
  <c r="E244" i="7" s="1"/>
  <c r="E243" i="7" s="1"/>
  <c r="E242" i="7" s="1"/>
  <c r="E241" i="7" s="1"/>
  <c r="H244" i="7"/>
  <c r="H243" i="7" s="1"/>
  <c r="H242" i="7" s="1"/>
  <c r="H241" i="7" s="1"/>
  <c r="G244" i="7"/>
  <c r="G243" i="7" s="1"/>
  <c r="G242" i="7" s="1"/>
  <c r="G241" i="7" s="1"/>
  <c r="F244" i="7"/>
  <c r="F243" i="7" s="1"/>
  <c r="F242" i="7" s="1"/>
  <c r="F241" i="7" s="1"/>
  <c r="E229" i="7"/>
  <c r="H22" i="7"/>
  <c r="H21" i="7" s="1"/>
  <c r="H20" i="7" s="1"/>
  <c r="G22" i="7"/>
  <c r="G21" i="7" s="1"/>
  <c r="G20" i="7" s="1"/>
  <c r="F22" i="7"/>
  <c r="F21" i="7" s="1"/>
  <c r="F20" i="7" s="1"/>
  <c r="E377" i="7" l="1"/>
  <c r="E375" i="7" s="1"/>
  <c r="E373" i="7"/>
  <c r="G550" i="7"/>
  <c r="H550" i="7"/>
  <c r="I550" i="7"/>
  <c r="G538" i="7"/>
  <c r="H538" i="7"/>
  <c r="I538" i="7"/>
  <c r="G548" i="7"/>
  <c r="H548" i="7"/>
  <c r="I548" i="7"/>
  <c r="G546" i="7"/>
  <c r="H546" i="7"/>
  <c r="I546" i="7"/>
  <c r="G541" i="7"/>
  <c r="H541" i="7"/>
  <c r="I541" i="7"/>
  <c r="G527" i="7"/>
  <c r="H527" i="7"/>
  <c r="I527" i="7"/>
  <c r="G523" i="7"/>
  <c r="H523" i="7"/>
  <c r="I523" i="7"/>
  <c r="G549" i="7"/>
  <c r="H549" i="7"/>
  <c r="I549" i="7"/>
  <c r="G547" i="7"/>
  <c r="H547" i="7"/>
  <c r="I547" i="7"/>
  <c r="G545" i="7"/>
  <c r="H545" i="7"/>
  <c r="I545" i="7"/>
  <c r="G543" i="7"/>
  <c r="H543" i="7"/>
  <c r="I543" i="7"/>
  <c r="G542" i="7"/>
  <c r="H542" i="7"/>
  <c r="I542" i="7"/>
  <c r="G540" i="7"/>
  <c r="H540" i="7"/>
  <c r="I540" i="7"/>
  <c r="G536" i="7"/>
  <c r="H536" i="7"/>
  <c r="I536" i="7"/>
  <c r="G535" i="7"/>
  <c r="H535" i="7"/>
  <c r="I535" i="7"/>
  <c r="G534" i="7"/>
  <c r="H534" i="7"/>
  <c r="I534" i="7"/>
  <c r="G533" i="7"/>
  <c r="H533" i="7"/>
  <c r="I533" i="7"/>
  <c r="G532" i="7"/>
  <c r="H532" i="7"/>
  <c r="I532" i="7"/>
  <c r="G531" i="7"/>
  <c r="H531" i="7"/>
  <c r="I531" i="7"/>
  <c r="G530" i="7"/>
  <c r="H530" i="7"/>
  <c r="I530" i="7"/>
  <c r="G529" i="7"/>
  <c r="H529" i="7"/>
  <c r="I529" i="7"/>
  <c r="G528" i="7"/>
  <c r="H528" i="7"/>
  <c r="I528" i="7"/>
  <c r="G526" i="7"/>
  <c r="H526" i="7"/>
  <c r="I526" i="7"/>
  <c r="I525" i="7"/>
  <c r="H525" i="7"/>
  <c r="G525" i="7"/>
  <c r="I524" i="7"/>
  <c r="H524" i="7"/>
  <c r="G524" i="7"/>
  <c r="I522" i="7"/>
  <c r="H522" i="7"/>
  <c r="G522" i="7"/>
  <c r="I520" i="7"/>
  <c r="H520" i="7"/>
  <c r="G520" i="7"/>
  <c r="I519" i="7"/>
  <c r="H519" i="7"/>
  <c r="G519" i="7"/>
  <c r="I518" i="7"/>
  <c r="H518" i="7"/>
  <c r="G518" i="7"/>
  <c r="K518" i="7" l="1"/>
  <c r="G465" i="7"/>
  <c r="F465" i="7"/>
  <c r="E465" i="7"/>
  <c r="E464" i="7" s="1"/>
  <c r="E463" i="7" s="1"/>
  <c r="G460" i="7"/>
  <c r="G459" i="7" s="1"/>
  <c r="G458" i="7" s="1"/>
  <c r="F460" i="7"/>
  <c r="F459" i="7" s="1"/>
  <c r="F458" i="7" s="1"/>
  <c r="E460" i="7"/>
  <c r="E459" i="7" s="1"/>
  <c r="E458" i="7" s="1"/>
  <c r="H175" i="7"/>
  <c r="H497" i="7"/>
  <c r="I483" i="7"/>
  <c r="H483" i="7"/>
  <c r="I539" i="7"/>
  <c r="H539" i="7"/>
  <c r="I537" i="7"/>
  <c r="H537" i="7"/>
  <c r="G537" i="7"/>
  <c r="I521" i="7"/>
  <c r="H521" i="7"/>
  <c r="G425" i="7"/>
  <c r="G521" i="7" s="1"/>
  <c r="G359" i="7"/>
  <c r="I544" i="7"/>
  <c r="G544" i="7"/>
  <c r="G539" i="7" l="1"/>
  <c r="G355" i="7"/>
  <c r="F464" i="7"/>
  <c r="F463" i="7" s="1"/>
  <c r="F457" i="7" s="1"/>
  <c r="G464" i="7"/>
  <c r="G463" i="7" s="1"/>
  <c r="G457" i="7" s="1"/>
  <c r="H167" i="7"/>
  <c r="H517" i="7"/>
  <c r="I517" i="7"/>
  <c r="G517" i="7"/>
  <c r="H544" i="7"/>
  <c r="E457" i="7"/>
  <c r="F95" i="7"/>
  <c r="F94" i="7" s="1"/>
  <c r="G95" i="7"/>
  <c r="G94" i="7" s="1"/>
  <c r="H95" i="7"/>
  <c r="H94" i="7" s="1"/>
  <c r="E95" i="7"/>
  <c r="F89" i="7"/>
  <c r="G89" i="7"/>
  <c r="H89" i="7"/>
  <c r="I355" i="7" l="1"/>
  <c r="G336" i="7"/>
  <c r="C16" i="5"/>
  <c r="C12" i="5"/>
  <c r="C14" i="5"/>
  <c r="C18" i="5"/>
  <c r="F444" i="7"/>
  <c r="F443" i="7" s="1"/>
  <c r="F442" i="7" s="1"/>
  <c r="G444" i="7"/>
  <c r="G443" i="7" s="1"/>
  <c r="G442" i="7" s="1"/>
  <c r="E444" i="7"/>
  <c r="E443" i="7" s="1"/>
  <c r="E442" i="7" s="1"/>
  <c r="F454" i="7"/>
  <c r="F453" i="7" s="1"/>
  <c r="G454" i="7"/>
  <c r="G453" i="7" s="1"/>
  <c r="F449" i="7"/>
  <c r="F448" i="7" s="1"/>
  <c r="G449" i="7"/>
  <c r="G448" i="7" s="1"/>
  <c r="F437" i="7"/>
  <c r="F436" i="7" s="1"/>
  <c r="F435" i="7" s="1"/>
  <c r="G437" i="7"/>
  <c r="G436" i="7" s="1"/>
  <c r="G435" i="7" s="1"/>
  <c r="H496" i="7"/>
  <c r="E10" i="10" s="1"/>
  <c r="I437" i="7"/>
  <c r="I436" i="7" s="1"/>
  <c r="I435" i="7" s="1"/>
  <c r="E437" i="7"/>
  <c r="E436" i="7" s="1"/>
  <c r="E435" i="7" s="1"/>
  <c r="F432" i="7"/>
  <c r="F431" i="7" s="1"/>
  <c r="G432" i="7"/>
  <c r="G431" i="7" s="1"/>
  <c r="F421" i="7"/>
  <c r="G421" i="7"/>
  <c r="F416" i="7"/>
  <c r="F415" i="7" s="1"/>
  <c r="F414" i="7" s="1"/>
  <c r="G416" i="7"/>
  <c r="G415" i="7" s="1"/>
  <c r="G414" i="7" s="1"/>
  <c r="F411" i="7"/>
  <c r="F410" i="7" s="1"/>
  <c r="G411" i="7"/>
  <c r="G410" i="7" s="1"/>
  <c r="H411" i="7"/>
  <c r="H410" i="7" s="1"/>
  <c r="H404" i="7" s="1"/>
  <c r="H403" i="7" s="1"/>
  <c r="E411" i="7"/>
  <c r="E410" i="7" s="1"/>
  <c r="F406" i="7"/>
  <c r="F405" i="7" s="1"/>
  <c r="G405" i="7"/>
  <c r="E406" i="7"/>
  <c r="E405" i="7" s="1"/>
  <c r="F400" i="7"/>
  <c r="G400" i="7"/>
  <c r="H400" i="7"/>
  <c r="F36" i="3"/>
  <c r="G371" i="7"/>
  <c r="F363" i="7"/>
  <c r="G363" i="7"/>
  <c r="H363" i="7"/>
  <c r="F360" i="7"/>
  <c r="G360" i="7"/>
  <c r="H360" i="7"/>
  <c r="F331" i="7"/>
  <c r="F330" i="7" s="1"/>
  <c r="G331" i="7"/>
  <c r="G330" i="7" s="1"/>
  <c r="H331" i="7"/>
  <c r="H330" i="7" s="1"/>
  <c r="H322" i="7"/>
  <c r="F296" i="7"/>
  <c r="F312" i="7"/>
  <c r="G312" i="7"/>
  <c r="H312" i="7"/>
  <c r="I312" i="7"/>
  <c r="F316" i="7"/>
  <c r="F315" i="7" s="1"/>
  <c r="G316" i="7"/>
  <c r="G315" i="7" s="1"/>
  <c r="H316" i="7"/>
  <c r="H315" i="7" s="1"/>
  <c r="I316" i="7"/>
  <c r="I315" i="7" s="1"/>
  <c r="E316" i="7"/>
  <c r="E315" i="7" s="1"/>
  <c r="G296" i="7"/>
  <c r="H296" i="7"/>
  <c r="I296" i="7"/>
  <c r="E296" i="7"/>
  <c r="E312" i="7"/>
  <c r="F282" i="7"/>
  <c r="F49" i="3" s="1"/>
  <c r="G282" i="7"/>
  <c r="H282" i="7"/>
  <c r="G41" i="3"/>
  <c r="F256" i="7"/>
  <c r="F255" i="7" s="1"/>
  <c r="F254" i="7" s="1"/>
  <c r="G256" i="7"/>
  <c r="G255" i="7" s="1"/>
  <c r="G254" i="7" s="1"/>
  <c r="H256" i="7"/>
  <c r="H255" i="7" s="1"/>
  <c r="H254" i="7" s="1"/>
  <c r="E256" i="7"/>
  <c r="E255" i="7" s="1"/>
  <c r="E254" i="7" s="1"/>
  <c r="F251" i="7"/>
  <c r="F250" i="7" s="1"/>
  <c r="F249" i="7" s="1"/>
  <c r="F248" i="7" s="1"/>
  <c r="F247" i="7" s="1"/>
  <c r="G251" i="7"/>
  <c r="G250" i="7" s="1"/>
  <c r="G249" i="7" s="1"/>
  <c r="G248" i="7" s="1"/>
  <c r="G247" i="7" s="1"/>
  <c r="H251" i="7"/>
  <c r="H250" i="7" s="1"/>
  <c r="H249" i="7" s="1"/>
  <c r="H248" i="7" s="1"/>
  <c r="H247" i="7" s="1"/>
  <c r="F239" i="7"/>
  <c r="F238" i="7" s="1"/>
  <c r="F237" i="7" s="1"/>
  <c r="F236" i="7" s="1"/>
  <c r="F234" i="7" s="1"/>
  <c r="G239" i="7"/>
  <c r="G238" i="7" s="1"/>
  <c r="G237" i="7" s="1"/>
  <c r="G236" i="7" s="1"/>
  <c r="G234" i="7" s="1"/>
  <c r="H239" i="7"/>
  <c r="H238" i="7" s="1"/>
  <c r="H237" i="7" s="1"/>
  <c r="H236" i="7" s="1"/>
  <c r="H234" i="7" s="1"/>
  <c r="F233" i="7"/>
  <c r="F232" i="7" s="1"/>
  <c r="F231" i="7" s="1"/>
  <c r="F230" i="7" s="1"/>
  <c r="G233" i="7"/>
  <c r="G232" i="7" s="1"/>
  <c r="G231" i="7" s="1"/>
  <c r="G230" i="7" s="1"/>
  <c r="H233" i="7"/>
  <c r="F225" i="7"/>
  <c r="F224" i="7" s="1"/>
  <c r="F223" i="7" s="1"/>
  <c r="F222" i="7" s="1"/>
  <c r="G225" i="7"/>
  <c r="G224" i="7" s="1"/>
  <c r="G223" i="7" s="1"/>
  <c r="G222" i="7" s="1"/>
  <c r="H225" i="7"/>
  <c r="H224" i="7" s="1"/>
  <c r="H223" i="7" s="1"/>
  <c r="H222" i="7" s="1"/>
  <c r="F175" i="7"/>
  <c r="G175" i="7"/>
  <c r="G167" i="7" s="1"/>
  <c r="E175" i="7"/>
  <c r="F162" i="7"/>
  <c r="G162" i="7"/>
  <c r="G154" i="7" s="1"/>
  <c r="H162" i="7"/>
  <c r="H154" i="7" s="1"/>
  <c r="E162" i="7"/>
  <c r="F135" i="7"/>
  <c r="G135" i="7"/>
  <c r="E135" i="7"/>
  <c r="F148" i="7"/>
  <c r="G148" i="7"/>
  <c r="H140" i="7"/>
  <c r="E148" i="7"/>
  <c r="H321" i="7" l="1"/>
  <c r="H295" i="7"/>
  <c r="D10" i="8"/>
  <c r="I496" i="7"/>
  <c r="I497" i="7"/>
  <c r="G496" i="7"/>
  <c r="G497" i="7"/>
  <c r="F10" i="10"/>
  <c r="E12" i="10"/>
  <c r="G10" i="10"/>
  <c r="I44" i="3"/>
  <c r="H294" i="7"/>
  <c r="H335" i="7"/>
  <c r="H334" i="7" s="1"/>
  <c r="H383" i="7"/>
  <c r="H382" i="7" s="1"/>
  <c r="H381" i="7" s="1"/>
  <c r="G221" i="7"/>
  <c r="H495" i="7"/>
  <c r="E43" i="10" s="1"/>
  <c r="E44" i="10" s="1"/>
  <c r="G370" i="7"/>
  <c r="G495" i="7" s="1"/>
  <c r="D43" i="10" s="1"/>
  <c r="D44" i="10" s="1"/>
  <c r="I495" i="7"/>
  <c r="F286" i="7"/>
  <c r="F63" i="3"/>
  <c r="H286" i="7"/>
  <c r="H63" i="3"/>
  <c r="I63" i="3"/>
  <c r="F322" i="7"/>
  <c r="F321" i="7" s="1"/>
  <c r="F493" i="7" s="1"/>
  <c r="C35" i="10" s="1"/>
  <c r="C36" i="10" s="1"/>
  <c r="F43" i="3"/>
  <c r="N37" i="3" s="1"/>
  <c r="F50" i="3"/>
  <c r="F44" i="3"/>
  <c r="G286" i="7"/>
  <c r="G63" i="3"/>
  <c r="F371" i="7"/>
  <c r="F370" i="7" s="1"/>
  <c r="F46" i="3"/>
  <c r="F41" i="3"/>
  <c r="F295" i="7"/>
  <c r="F294" i="7" s="1"/>
  <c r="F492" i="7" s="1"/>
  <c r="F42" i="3" s="1"/>
  <c r="H44" i="3"/>
  <c r="H232" i="7"/>
  <c r="H231" i="7" s="1"/>
  <c r="H230" i="7" s="1"/>
  <c r="H221" i="7" s="1"/>
  <c r="H485" i="7"/>
  <c r="I493" i="7"/>
  <c r="I43" i="3"/>
  <c r="G44" i="3"/>
  <c r="H493" i="7"/>
  <c r="E35" i="10" s="1"/>
  <c r="H43" i="3"/>
  <c r="I41" i="3"/>
  <c r="G322" i="7"/>
  <c r="G321" i="7" s="1"/>
  <c r="G493" i="7" s="1"/>
  <c r="D35" i="10" s="1"/>
  <c r="D36" i="10" s="1"/>
  <c r="G43" i="3"/>
  <c r="I485" i="7"/>
  <c r="H41" i="3"/>
  <c r="G335" i="7"/>
  <c r="F335" i="7"/>
  <c r="F334" i="7" s="1"/>
  <c r="H262" i="7"/>
  <c r="C11" i="5"/>
  <c r="C10" i="5" s="1"/>
  <c r="G262" i="7"/>
  <c r="G404" i="7"/>
  <c r="E404" i="7"/>
  <c r="F420" i="7"/>
  <c r="G447" i="7"/>
  <c r="G441" i="7" s="1"/>
  <c r="F262" i="7"/>
  <c r="G383" i="7"/>
  <c r="G382" i="7" s="1"/>
  <c r="G381" i="7" s="1"/>
  <c r="G420" i="7"/>
  <c r="F447" i="7"/>
  <c r="F441" i="7" s="1"/>
  <c r="F404" i="7"/>
  <c r="F383" i="7"/>
  <c r="F382" i="7" s="1"/>
  <c r="F381" i="7" s="1"/>
  <c r="H166" i="7"/>
  <c r="H153" i="7"/>
  <c r="F167" i="7"/>
  <c r="F166" i="7" s="1"/>
  <c r="G153" i="7"/>
  <c r="I295" i="7"/>
  <c r="I294" i="7" s="1"/>
  <c r="I492" i="7" s="1"/>
  <c r="I42" i="3" s="1"/>
  <c r="E295" i="7"/>
  <c r="E294" i="7" s="1"/>
  <c r="G295" i="7"/>
  <c r="G294" i="7" s="1"/>
  <c r="G492" i="7" s="1"/>
  <c r="G42" i="3" s="1"/>
  <c r="H492" i="7"/>
  <c r="H42" i="3" s="1"/>
  <c r="F221" i="7"/>
  <c r="F127" i="7"/>
  <c r="F126" i="7" s="1"/>
  <c r="G166" i="7"/>
  <c r="G127" i="7"/>
  <c r="G126" i="7" s="1"/>
  <c r="H127" i="7"/>
  <c r="H126" i="7" s="1"/>
  <c r="F154" i="7"/>
  <c r="F153" i="7" s="1"/>
  <c r="H139" i="7"/>
  <c r="G140" i="7"/>
  <c r="G139" i="7" s="1"/>
  <c r="F140" i="7"/>
  <c r="F139" i="7" s="1"/>
  <c r="F121" i="7"/>
  <c r="F40" i="3" s="1"/>
  <c r="G121" i="7"/>
  <c r="G40" i="3" s="1"/>
  <c r="H121" i="7"/>
  <c r="H40" i="3" s="1"/>
  <c r="I121" i="7"/>
  <c r="I40" i="3" s="1"/>
  <c r="F35" i="3"/>
  <c r="G114" i="7"/>
  <c r="G35" i="3" s="1"/>
  <c r="H114" i="7"/>
  <c r="H35" i="3" s="1"/>
  <c r="I114" i="7"/>
  <c r="I35" i="3" s="1"/>
  <c r="F108" i="7"/>
  <c r="G108" i="7"/>
  <c r="H108" i="7"/>
  <c r="F93" i="7"/>
  <c r="G93" i="7"/>
  <c r="G92" i="7" s="1"/>
  <c r="H93" i="7"/>
  <c r="H92" i="7" s="1"/>
  <c r="F34" i="3"/>
  <c r="G479" i="7"/>
  <c r="H479" i="7"/>
  <c r="I34" i="3"/>
  <c r="F88" i="7"/>
  <c r="F87" i="7" s="1"/>
  <c r="F86" i="7" s="1"/>
  <c r="G88" i="7"/>
  <c r="G87" i="7" s="1"/>
  <c r="H88" i="7"/>
  <c r="H87" i="7" s="1"/>
  <c r="F82" i="7"/>
  <c r="F81" i="7" s="1"/>
  <c r="F80" i="7" s="1"/>
  <c r="F79" i="7" s="1"/>
  <c r="G82" i="7"/>
  <c r="G81" i="7" s="1"/>
  <c r="G80" i="7" s="1"/>
  <c r="G79" i="7" s="1"/>
  <c r="H82" i="7"/>
  <c r="H81" i="7" s="1"/>
  <c r="H80" i="7" s="1"/>
  <c r="H79" i="7" s="1"/>
  <c r="F58" i="7"/>
  <c r="F57" i="7" s="1"/>
  <c r="F56" i="7" s="1"/>
  <c r="F55" i="7" s="1"/>
  <c r="G58" i="7"/>
  <c r="G57" i="7" s="1"/>
  <c r="G56" i="7" s="1"/>
  <c r="H58" i="7"/>
  <c r="H57" i="7" s="1"/>
  <c r="H56" i="7" s="1"/>
  <c r="F52" i="7"/>
  <c r="G52" i="7"/>
  <c r="G48" i="3" s="1"/>
  <c r="H52" i="7"/>
  <c r="F17" i="7"/>
  <c r="F16" i="7" s="1"/>
  <c r="F15" i="7" s="1"/>
  <c r="G17" i="7"/>
  <c r="G16" i="7" s="1"/>
  <c r="G15" i="7" s="1"/>
  <c r="H17" i="7"/>
  <c r="H16" i="7" s="1"/>
  <c r="H15" i="7" s="1"/>
  <c r="H14" i="7" s="1"/>
  <c r="F10" i="7"/>
  <c r="F55" i="3" s="1"/>
  <c r="G10" i="7"/>
  <c r="G9" i="7" s="1"/>
  <c r="G8" i="7" s="1"/>
  <c r="H10" i="7"/>
  <c r="E23" i="3"/>
  <c r="E24" i="3"/>
  <c r="E25" i="3"/>
  <c r="E22" i="3"/>
  <c r="E21" i="3" s="1"/>
  <c r="K21" i="3" s="1"/>
  <c r="E20" i="3"/>
  <c r="E13" i="3"/>
  <c r="E17" i="3"/>
  <c r="E16" i="3" s="1"/>
  <c r="E15" i="3"/>
  <c r="E19" i="3"/>
  <c r="E18" i="3" s="1"/>
  <c r="F66" i="3"/>
  <c r="G66" i="3"/>
  <c r="H66" i="3"/>
  <c r="I66" i="3"/>
  <c r="F64" i="3"/>
  <c r="G64" i="3"/>
  <c r="H64" i="3"/>
  <c r="I64" i="3"/>
  <c r="F68" i="3"/>
  <c r="F67" i="3" s="1"/>
  <c r="G68" i="3"/>
  <c r="G67" i="3" s="1"/>
  <c r="H68" i="3"/>
  <c r="H67" i="3" s="1"/>
  <c r="I68" i="3"/>
  <c r="I67" i="3" s="1"/>
  <c r="F52" i="3"/>
  <c r="G52" i="3"/>
  <c r="H52" i="3"/>
  <c r="I52" i="3"/>
  <c r="G50" i="3"/>
  <c r="H50" i="3"/>
  <c r="I50" i="3"/>
  <c r="G49" i="3"/>
  <c r="H49" i="3"/>
  <c r="I49" i="3"/>
  <c r="G46" i="3"/>
  <c r="H46" i="3"/>
  <c r="I46" i="3"/>
  <c r="F45" i="3"/>
  <c r="G45" i="3"/>
  <c r="H45" i="3"/>
  <c r="I45" i="3"/>
  <c r="G36" i="3"/>
  <c r="H36" i="3"/>
  <c r="I36" i="3"/>
  <c r="G483" i="7"/>
  <c r="G485" i="7"/>
  <c r="F495" i="7"/>
  <c r="C43" i="10" s="1"/>
  <c r="C44" i="10" s="1"/>
  <c r="F496" i="7"/>
  <c r="F497" i="7"/>
  <c r="F483" i="7"/>
  <c r="F485" i="7"/>
  <c r="F479" i="7"/>
  <c r="E497" i="7"/>
  <c r="E483" i="7"/>
  <c r="E492" i="7" l="1"/>
  <c r="F261" i="7"/>
  <c r="F491" i="7" s="1"/>
  <c r="C27" i="10" s="1"/>
  <c r="C28" i="10" s="1"/>
  <c r="I491" i="7"/>
  <c r="G334" i="7"/>
  <c r="D9" i="8"/>
  <c r="D8" i="8" s="1"/>
  <c r="G43" i="10"/>
  <c r="F43" i="10"/>
  <c r="E36" i="10"/>
  <c r="F35" i="10"/>
  <c r="G35" i="10"/>
  <c r="F14" i="7"/>
  <c r="F13" i="7" s="1"/>
  <c r="G14" i="7"/>
  <c r="G13" i="7" s="1"/>
  <c r="H261" i="7"/>
  <c r="H260" i="7" s="1"/>
  <c r="H259" i="7" s="1"/>
  <c r="K259" i="7" s="1"/>
  <c r="H125" i="7"/>
  <c r="O35" i="3"/>
  <c r="P35" i="3" s="1"/>
  <c r="F403" i="7"/>
  <c r="O34" i="3"/>
  <c r="F39" i="3"/>
  <c r="F69" i="7"/>
  <c r="F68" i="7" s="1"/>
  <c r="F38" i="3"/>
  <c r="G261" i="7"/>
  <c r="G491" i="7" s="1"/>
  <c r="F481" i="7"/>
  <c r="F48" i="3"/>
  <c r="F47" i="3" s="1"/>
  <c r="G39" i="3"/>
  <c r="G69" i="7"/>
  <c r="G67" i="7" s="1"/>
  <c r="G38" i="3"/>
  <c r="H13" i="7"/>
  <c r="I48" i="3"/>
  <c r="I47" i="3" s="1"/>
  <c r="I481" i="7"/>
  <c r="I494" i="7"/>
  <c r="H48" i="3"/>
  <c r="H47" i="3" s="1"/>
  <c r="H481" i="7"/>
  <c r="G125" i="7"/>
  <c r="I484" i="7"/>
  <c r="I480" i="7"/>
  <c r="I39" i="3"/>
  <c r="F17" i="5"/>
  <c r="F16" i="5" s="1"/>
  <c r="I38" i="3"/>
  <c r="H39" i="3"/>
  <c r="H69" i="7"/>
  <c r="H67" i="7" s="1"/>
  <c r="H38" i="3"/>
  <c r="H484" i="7"/>
  <c r="H480" i="7"/>
  <c r="I479" i="7"/>
  <c r="G494" i="7"/>
  <c r="D39" i="10" s="1"/>
  <c r="D40" i="10" s="1"/>
  <c r="I55" i="3"/>
  <c r="I482" i="7"/>
  <c r="H55" i="3"/>
  <c r="H482" i="7"/>
  <c r="G7" i="7"/>
  <c r="G6" i="7" s="1"/>
  <c r="G487" i="7"/>
  <c r="H494" i="7"/>
  <c r="E39" i="10" s="1"/>
  <c r="E40" i="10" s="1"/>
  <c r="H55" i="7"/>
  <c r="E15" i="5" s="1"/>
  <c r="E14" i="5" s="1"/>
  <c r="H86" i="7"/>
  <c r="G55" i="7"/>
  <c r="G86" i="7"/>
  <c r="H152" i="7"/>
  <c r="F67" i="7"/>
  <c r="G152" i="7"/>
  <c r="G403" i="7"/>
  <c r="F260" i="7"/>
  <c r="G484" i="7"/>
  <c r="F494" i="7"/>
  <c r="C39" i="10" s="1"/>
  <c r="F484" i="7"/>
  <c r="F61" i="3"/>
  <c r="F60" i="3" s="1"/>
  <c r="F59" i="3" s="1"/>
  <c r="F152" i="7"/>
  <c r="G61" i="3"/>
  <c r="G60" i="3" s="1"/>
  <c r="G59" i="3" s="1"/>
  <c r="F113" i="7"/>
  <c r="F112" i="7" s="1"/>
  <c r="F490" i="7" s="1"/>
  <c r="C23" i="10" s="1"/>
  <c r="F482" i="7"/>
  <c r="F125" i="7"/>
  <c r="G481" i="7"/>
  <c r="G28" i="7"/>
  <c r="G27" i="7" s="1"/>
  <c r="G26" i="7" s="1"/>
  <c r="H100" i="7"/>
  <c r="H99" i="7" s="1"/>
  <c r="G100" i="7"/>
  <c r="G99" i="7" s="1"/>
  <c r="G55" i="3"/>
  <c r="H61" i="3"/>
  <c r="H60" i="3" s="1"/>
  <c r="H59" i="3" s="1"/>
  <c r="H113" i="7"/>
  <c r="H112" i="7" s="1"/>
  <c r="H490" i="7" s="1"/>
  <c r="H34" i="3"/>
  <c r="H33" i="3" s="1"/>
  <c r="G34" i="3"/>
  <c r="G33" i="3" s="1"/>
  <c r="H9" i="7"/>
  <c r="H8" i="7" s="1"/>
  <c r="G482" i="7"/>
  <c r="I61" i="3"/>
  <c r="I60" i="3" s="1"/>
  <c r="I59" i="3" s="1"/>
  <c r="G47" i="3"/>
  <c r="F100" i="7"/>
  <c r="F99" i="7" s="1"/>
  <c r="F9" i="7"/>
  <c r="F8" i="7" s="1"/>
  <c r="G480" i="7"/>
  <c r="H28" i="7"/>
  <c r="I113" i="7"/>
  <c r="I112" i="7" s="1"/>
  <c r="I490" i="7" s="1"/>
  <c r="G113" i="7"/>
  <c r="G112" i="7" s="1"/>
  <c r="G490" i="7" s="1"/>
  <c r="D23" i="10" s="1"/>
  <c r="D24" i="10" s="1"/>
  <c r="F33" i="3"/>
  <c r="I33" i="3"/>
  <c r="F92" i="7"/>
  <c r="F28" i="7"/>
  <c r="F27" i="7" s="1"/>
  <c r="F488" i="7" s="1"/>
  <c r="C19" i="10" s="1"/>
  <c r="C20" i="10" s="1"/>
  <c r="F480" i="7"/>
  <c r="E19" i="7"/>
  <c r="E17" i="7" s="1"/>
  <c r="E12" i="7"/>
  <c r="E10" i="7" s="1"/>
  <c r="E456" i="7"/>
  <c r="E454" i="7" s="1"/>
  <c r="E453" i="7" s="1"/>
  <c r="E451" i="7"/>
  <c r="E449" i="7" s="1"/>
  <c r="E448" i="7" s="1"/>
  <c r="E434" i="7"/>
  <c r="E432" i="7" s="1"/>
  <c r="E431" i="7" s="1"/>
  <c r="E427" i="7"/>
  <c r="E425" i="7"/>
  <c r="E424" i="7"/>
  <c r="E419" i="7"/>
  <c r="E418" i="7"/>
  <c r="E402" i="7"/>
  <c r="E400" i="7" s="1"/>
  <c r="E399" i="7"/>
  <c r="E398" i="7"/>
  <c r="E396" i="7"/>
  <c r="E394" i="7"/>
  <c r="E391" i="7"/>
  <c r="E390" i="7"/>
  <c r="E388" i="7"/>
  <c r="E386" i="7"/>
  <c r="E376" i="7"/>
  <c r="E372" i="7" s="1"/>
  <c r="E371" i="7" s="1"/>
  <c r="E370" i="7" s="1"/>
  <c r="E369" i="7"/>
  <c r="E367" i="7"/>
  <c r="E366" i="7"/>
  <c r="E360" i="7"/>
  <c r="E359" i="7"/>
  <c r="E356" i="7"/>
  <c r="E348" i="7"/>
  <c r="E347" i="7"/>
  <c r="E344" i="7"/>
  <c r="E342" i="7"/>
  <c r="E339" i="7"/>
  <c r="E338" i="7"/>
  <c r="E333" i="7"/>
  <c r="E331" i="7" s="1"/>
  <c r="E329" i="7"/>
  <c r="E328" i="7"/>
  <c r="E325" i="7"/>
  <c r="E293" i="7"/>
  <c r="E291" i="7"/>
  <c r="E289" i="7"/>
  <c r="E285" i="7"/>
  <c r="E284" i="7"/>
  <c r="E281" i="7"/>
  <c r="E280" i="7"/>
  <c r="E277" i="7"/>
  <c r="E276" i="7"/>
  <c r="E274" i="7"/>
  <c r="E273" i="7"/>
  <c r="E271" i="7"/>
  <c r="E269" i="7"/>
  <c r="E265" i="7"/>
  <c r="E54" i="7"/>
  <c r="E35" i="7"/>
  <c r="E253" i="7"/>
  <c r="E251" i="7" s="1"/>
  <c r="E250" i="7" s="1"/>
  <c r="E249" i="7" s="1"/>
  <c r="E248" i="7" s="1"/>
  <c r="E247" i="7" s="1"/>
  <c r="E240" i="7"/>
  <c r="E239" i="7" s="1"/>
  <c r="E238" i="7" s="1"/>
  <c r="E237" i="7" s="1"/>
  <c r="E236" i="7" s="1"/>
  <c r="E234" i="7" s="1"/>
  <c r="E235" i="7"/>
  <c r="E228" i="7"/>
  <c r="E226" i="7" s="1"/>
  <c r="E227" i="7"/>
  <c r="E124" i="7"/>
  <c r="E123" i="7"/>
  <c r="E120" i="7"/>
  <c r="E118" i="7"/>
  <c r="E116" i="7"/>
  <c r="E111" i="7"/>
  <c r="E110" i="7"/>
  <c r="E107" i="7"/>
  <c r="E105" i="7"/>
  <c r="E103" i="7"/>
  <c r="E94" i="7"/>
  <c r="E93" i="7" s="1"/>
  <c r="E92" i="7" s="1"/>
  <c r="E91" i="7"/>
  <c r="E89" i="7" s="1"/>
  <c r="E88" i="7" s="1"/>
  <c r="E87" i="7" s="1"/>
  <c r="E86" i="7" s="1"/>
  <c r="E85" i="7"/>
  <c r="E84" i="7"/>
  <c r="E78" i="7"/>
  <c r="E39" i="7"/>
  <c r="E61" i="7"/>
  <c r="E60" i="7"/>
  <c r="E51" i="7"/>
  <c r="E49" i="7"/>
  <c r="E48" i="7"/>
  <c r="E46" i="7"/>
  <c r="E45" i="7"/>
  <c r="E44" i="7"/>
  <c r="E43" i="7"/>
  <c r="E42" i="7"/>
  <c r="E41" i="7"/>
  <c r="E37" i="7"/>
  <c r="E36" i="7"/>
  <c r="E34" i="7"/>
  <c r="E32" i="7"/>
  <c r="E31" i="7"/>
  <c r="H27" i="7" l="1"/>
  <c r="I28" i="7"/>
  <c r="E495" i="7"/>
  <c r="E368" i="7"/>
  <c r="E365" i="7" s="1"/>
  <c r="D15" i="5"/>
  <c r="D14" i="5" s="1"/>
  <c r="H491" i="7"/>
  <c r="E27" i="10" s="1"/>
  <c r="E28" i="10" s="1"/>
  <c r="G8" i="8"/>
  <c r="D6" i="8"/>
  <c r="F15" i="5"/>
  <c r="F14" i="5" s="1"/>
  <c r="E23" i="10"/>
  <c r="G23" i="10" s="1"/>
  <c r="E22" i="10"/>
  <c r="D27" i="10"/>
  <c r="D28" i="10" s="1"/>
  <c r="F39" i="10"/>
  <c r="C40" i="10"/>
  <c r="C24" i="10"/>
  <c r="G39" i="10"/>
  <c r="E17" i="5"/>
  <c r="E16" i="5" s="1"/>
  <c r="D17" i="5"/>
  <c r="D16" i="5" s="1"/>
  <c r="G260" i="7"/>
  <c r="G259" i="7" s="1"/>
  <c r="F259" i="7"/>
  <c r="E52" i="7"/>
  <c r="E233" i="7"/>
  <c r="F98" i="7"/>
  <c r="F66" i="7" s="1"/>
  <c r="O33" i="3"/>
  <c r="N32" i="3"/>
  <c r="K480" i="7"/>
  <c r="I37" i="3"/>
  <c r="H68" i="7"/>
  <c r="H489" i="7" s="1"/>
  <c r="G68" i="7"/>
  <c r="G489" i="7" s="1"/>
  <c r="D15" i="10" s="1"/>
  <c r="H486" i="7"/>
  <c r="H488" i="7"/>
  <c r="H37" i="3"/>
  <c r="I489" i="7"/>
  <c r="I486" i="7"/>
  <c r="G488" i="7"/>
  <c r="D19" i="10" s="1"/>
  <c r="D18" i="10" s="1"/>
  <c r="G25" i="7"/>
  <c r="I487" i="7"/>
  <c r="H7" i="7"/>
  <c r="H6" i="7" s="1"/>
  <c r="H487" i="7"/>
  <c r="E7" i="10" s="1"/>
  <c r="G98" i="7"/>
  <c r="G66" i="7" s="1"/>
  <c r="F489" i="7"/>
  <c r="C15" i="10" s="1"/>
  <c r="C16" i="10" s="1"/>
  <c r="H98" i="7"/>
  <c r="H96" i="7" s="1"/>
  <c r="E121" i="7"/>
  <c r="E225" i="7"/>
  <c r="E224" i="7" s="1"/>
  <c r="E223" i="7" s="1"/>
  <c r="E222" i="7" s="1"/>
  <c r="G486" i="7"/>
  <c r="E364" i="7"/>
  <c r="E363" i="7" s="1"/>
  <c r="E361" i="7" s="1"/>
  <c r="E355" i="7" s="1"/>
  <c r="E346" i="7" s="1"/>
  <c r="E341" i="7" s="1"/>
  <c r="E337" i="7" s="1"/>
  <c r="F7" i="7"/>
  <c r="F6" i="7" s="1"/>
  <c r="F487" i="7"/>
  <c r="C7" i="10" s="1"/>
  <c r="E330" i="7"/>
  <c r="E64" i="3"/>
  <c r="E108" i="7"/>
  <c r="E416" i="7"/>
  <c r="E415" i="7" s="1"/>
  <c r="E414" i="7" s="1"/>
  <c r="F26" i="7"/>
  <c r="F25" i="7" s="1"/>
  <c r="E482" i="7"/>
  <c r="E55" i="3"/>
  <c r="E9" i="7"/>
  <c r="E8" i="7" s="1"/>
  <c r="E16" i="7"/>
  <c r="E15" i="7" s="1"/>
  <c r="E232" i="7"/>
  <c r="E231" i="7" s="1"/>
  <c r="E230" i="7" s="1"/>
  <c r="E485" i="7"/>
  <c r="E68" i="3"/>
  <c r="E67" i="3" s="1"/>
  <c r="E447" i="7"/>
  <c r="E441" i="7" s="1"/>
  <c r="E82" i="7"/>
  <c r="E81" i="7" s="1"/>
  <c r="E80" i="7" s="1"/>
  <c r="E79" i="7" s="1"/>
  <c r="E282" i="7"/>
  <c r="E49" i="3" s="1"/>
  <c r="E58" i="7"/>
  <c r="E57" i="7" s="1"/>
  <c r="E56" i="7" s="1"/>
  <c r="E55" i="7" s="1"/>
  <c r="F56" i="3"/>
  <c r="F54" i="3"/>
  <c r="F10" i="1"/>
  <c r="F20" i="1"/>
  <c r="G20" i="1"/>
  <c r="H20" i="1"/>
  <c r="I20" i="1"/>
  <c r="F19" i="1"/>
  <c r="G19" i="1"/>
  <c r="H19" i="1"/>
  <c r="I19" i="1"/>
  <c r="F8" i="6"/>
  <c r="G8" i="6"/>
  <c r="H8" i="6"/>
  <c r="I8" i="6"/>
  <c r="E8" i="6"/>
  <c r="H10" i="1"/>
  <c r="H26" i="7" l="1"/>
  <c r="I27" i="7"/>
  <c r="I488" i="7" s="1"/>
  <c r="I499" i="7" s="1"/>
  <c r="E336" i="7"/>
  <c r="E335" i="7" s="1"/>
  <c r="E481" i="7"/>
  <c r="F27" i="10"/>
  <c r="F23" i="10"/>
  <c r="G9" i="1"/>
  <c r="J9" i="1" s="1"/>
  <c r="D5" i="8"/>
  <c r="G5" i="8" s="1"/>
  <c r="G6" i="8"/>
  <c r="G4" i="7"/>
  <c r="L7" i="7" s="1"/>
  <c r="H66" i="7"/>
  <c r="C46" i="10"/>
  <c r="C47" i="10" s="1"/>
  <c r="G27" i="10"/>
  <c r="D46" i="10"/>
  <c r="G12" i="1" s="1"/>
  <c r="J12" i="1" s="1"/>
  <c r="E19" i="10"/>
  <c r="G19" i="10" s="1"/>
  <c r="E18" i="10"/>
  <c r="F18" i="10" s="1"/>
  <c r="E15" i="10"/>
  <c r="G15" i="10" s="1"/>
  <c r="E14" i="10"/>
  <c r="E24" i="10"/>
  <c r="F22" i="10"/>
  <c r="G22" i="10"/>
  <c r="F7" i="10"/>
  <c r="C8" i="10"/>
  <c r="E8" i="10"/>
  <c r="G7" i="10"/>
  <c r="D20" i="10"/>
  <c r="D14" i="10"/>
  <c r="D45" i="10" s="1"/>
  <c r="H499" i="7"/>
  <c r="G499" i="7"/>
  <c r="E19" i="5"/>
  <c r="E18" i="5" s="1"/>
  <c r="D19" i="5"/>
  <c r="D18" i="5" s="1"/>
  <c r="F19" i="5"/>
  <c r="F18" i="5" s="1"/>
  <c r="K66" i="7"/>
  <c r="F4" i="7"/>
  <c r="F499" i="7"/>
  <c r="E221" i="7"/>
  <c r="E334" i="7"/>
  <c r="E61" i="3"/>
  <c r="E14" i="7"/>
  <c r="E487" i="7"/>
  <c r="E7" i="7"/>
  <c r="E6" i="7" s="1"/>
  <c r="E45" i="3"/>
  <c r="H4" i="7" l="1"/>
  <c r="K4" i="7" s="1"/>
  <c r="I26" i="7"/>
  <c r="H25" i="7"/>
  <c r="I25" i="7" s="1"/>
  <c r="I4" i="7" s="1"/>
  <c r="F13" i="5" s="1"/>
  <c r="F12" i="5" s="1"/>
  <c r="F11" i="5" s="1"/>
  <c r="F10" i="5" s="1"/>
  <c r="E332" i="7"/>
  <c r="E327" i="7" s="1"/>
  <c r="E323" i="7" s="1"/>
  <c r="E322" i="7" s="1"/>
  <c r="E321" i="7" s="1"/>
  <c r="E292" i="7" s="1"/>
  <c r="E493" i="7"/>
  <c r="E185" i="7"/>
  <c r="E182" i="7" s="1"/>
  <c r="E181" i="7" s="1"/>
  <c r="E180" i="7" s="1"/>
  <c r="E179" i="7" s="1"/>
  <c r="E190" i="7"/>
  <c r="E187" i="7"/>
  <c r="E183" i="7"/>
  <c r="E24" i="7"/>
  <c r="E22" i="7" s="1"/>
  <c r="E21" i="7" s="1"/>
  <c r="E20" i="7" s="1"/>
  <c r="E496" i="7" s="1"/>
  <c r="F19" i="10"/>
  <c r="G11" i="1"/>
  <c r="E46" i="10"/>
  <c r="I10" i="10" s="1"/>
  <c r="M10" i="10" s="1"/>
  <c r="F15" i="10"/>
  <c r="G18" i="10"/>
  <c r="E20" i="10"/>
  <c r="I14" i="10"/>
  <c r="M14" i="10" s="1"/>
  <c r="F14" i="10"/>
  <c r="P7" i="10"/>
  <c r="P8" i="10" s="1"/>
  <c r="E45" i="10"/>
  <c r="H45" i="10" s="1"/>
  <c r="E16" i="10"/>
  <c r="D16" i="10"/>
  <c r="D47" i="10"/>
  <c r="G14" i="10"/>
  <c r="D13" i="5"/>
  <c r="D12" i="5" s="1"/>
  <c r="D11" i="5" s="1"/>
  <c r="D10" i="5" s="1"/>
  <c r="E13" i="7"/>
  <c r="B15" i="5"/>
  <c r="B14" i="5" s="1"/>
  <c r="E494" i="7"/>
  <c r="H14" i="3"/>
  <c r="I14" i="3"/>
  <c r="E14" i="3"/>
  <c r="F14" i="3"/>
  <c r="E13" i="5" l="1"/>
  <c r="E12" i="5" s="1"/>
  <c r="E11" i="5" s="1"/>
  <c r="E10" i="5" s="1"/>
  <c r="E324" i="7"/>
  <c r="E288" i="7"/>
  <c r="E287" i="7"/>
  <c r="E169" i="7"/>
  <c r="E171" i="7"/>
  <c r="E484" i="7"/>
  <c r="E47" i="10"/>
  <c r="E63" i="3" l="1"/>
  <c r="E286" i="7"/>
  <c r="E283" i="7" s="1"/>
  <c r="E279" i="7" s="1"/>
  <c r="E173" i="7"/>
  <c r="E168" i="7" s="1"/>
  <c r="E176" i="7"/>
  <c r="E46" i="3"/>
  <c r="E50" i="3"/>
  <c r="E275" i="7" l="1"/>
  <c r="E272" i="7"/>
  <c r="E158" i="7"/>
  <c r="E155" i="7" s="1"/>
  <c r="E154" i="7" s="1"/>
  <c r="E153" i="7" s="1"/>
  <c r="E146" i="7" s="1"/>
  <c r="E167" i="7"/>
  <c r="E166" i="7" s="1"/>
  <c r="E163" i="7" s="1"/>
  <c r="E160" i="7"/>
  <c r="E56" i="3"/>
  <c r="E52" i="3"/>
  <c r="F17" i="3"/>
  <c r="F16" i="3" s="1"/>
  <c r="H58" i="3"/>
  <c r="H56" i="3" s="1"/>
  <c r="I58" i="3"/>
  <c r="I56" i="3" s="1"/>
  <c r="E54" i="3"/>
  <c r="E66" i="3"/>
  <c r="E60" i="3" s="1"/>
  <c r="E268" i="7" l="1"/>
  <c r="E264" i="7" s="1"/>
  <c r="E156" i="7"/>
  <c r="E152" i="7"/>
  <c r="E149" i="7" s="1"/>
  <c r="N61" i="3"/>
  <c r="E59" i="3"/>
  <c r="E43" i="3"/>
  <c r="G58" i="3"/>
  <c r="G56" i="3" s="1"/>
  <c r="G54" i="3"/>
  <c r="F20" i="3"/>
  <c r="F13" i="3"/>
  <c r="F12" i="3" s="1"/>
  <c r="I54" i="3"/>
  <c r="I32" i="3" s="1"/>
  <c r="H54" i="3"/>
  <c r="E263" i="7" l="1"/>
  <c r="E262" i="7" s="1"/>
  <c r="E261" i="7" s="1"/>
  <c r="E260" i="7" s="1"/>
  <c r="E144" i="7"/>
  <c r="E141" i="7" s="1"/>
  <c r="E140" i="7" s="1"/>
  <c r="E139" i="7" s="1"/>
  <c r="E133" i="7" s="1"/>
  <c r="E491" i="7"/>
  <c r="E142" i="7"/>
  <c r="K60" i="3"/>
  <c r="E40" i="3"/>
  <c r="E41" i="3" l="1"/>
  <c r="N35" i="3" s="1"/>
  <c r="E136" i="7"/>
  <c r="E129" i="7" s="1"/>
  <c r="E131" i="7"/>
  <c r="E128" i="7" s="1"/>
  <c r="E127" i="7" s="1"/>
  <c r="E126" i="7" s="1"/>
  <c r="E125" i="7" s="1"/>
  <c r="E119" i="7" s="1"/>
  <c r="E48" i="3"/>
  <c r="E12" i="3"/>
  <c r="E11" i="3" s="1"/>
  <c r="F37" i="3"/>
  <c r="F32" i="3" s="1"/>
  <c r="F31" i="3" s="1"/>
  <c r="F18" i="3"/>
  <c r="E122" i="7" l="1"/>
  <c r="E115" i="7" s="1"/>
  <c r="E117" i="7"/>
  <c r="E114" i="7" s="1"/>
  <c r="E113" i="7" s="1"/>
  <c r="E112" i="7" s="1"/>
  <c r="E106" i="7" s="1"/>
  <c r="E490" i="7"/>
  <c r="K67" i="3" s="1"/>
  <c r="J29" i="3"/>
  <c r="K28" i="3"/>
  <c r="E47" i="3"/>
  <c r="I25" i="3"/>
  <c r="F22" i="3"/>
  <c r="H25" i="3"/>
  <c r="F23" i="3"/>
  <c r="F25" i="3"/>
  <c r="I24" i="3"/>
  <c r="H24" i="3"/>
  <c r="E35" i="3" l="1"/>
  <c r="N34" i="3" s="1"/>
  <c r="E109" i="7"/>
  <c r="E104" i="7" s="1"/>
  <c r="E101" i="7" s="1"/>
  <c r="E102" i="7"/>
  <c r="F11" i="1"/>
  <c r="F21" i="3"/>
  <c r="G10" i="1"/>
  <c r="G8" i="1" s="1"/>
  <c r="G14" i="3"/>
  <c r="E34" i="3" l="1"/>
  <c r="E33" i="3" s="1"/>
  <c r="E100" i="7"/>
  <c r="E99" i="7" s="1"/>
  <c r="E98" i="7" s="1"/>
  <c r="E479" i="7"/>
  <c r="F11" i="3"/>
  <c r="I23" i="3"/>
  <c r="H17" i="3"/>
  <c r="H16" i="3" s="1"/>
  <c r="H23" i="3"/>
  <c r="I17" i="3"/>
  <c r="I16" i="3" s="1"/>
  <c r="I13" i="3"/>
  <c r="I12" i="3" s="1"/>
  <c r="H19" i="3"/>
  <c r="I19" i="3"/>
  <c r="E470" i="7" l="1"/>
  <c r="E466" i="7" s="1"/>
  <c r="E461" i="7" s="1"/>
  <c r="E455" i="7" s="1"/>
  <c r="E450" i="7" s="1"/>
  <c r="B19" i="5"/>
  <c r="B18" i="5" s="1"/>
  <c r="E96" i="7"/>
  <c r="E90" i="7" s="1"/>
  <c r="E83" i="7" s="1"/>
  <c r="F10" i="3"/>
  <c r="H32" i="3"/>
  <c r="H31" i="3" s="1"/>
  <c r="I20" i="3"/>
  <c r="I18" i="3" s="1"/>
  <c r="H13" i="3"/>
  <c r="H12" i="3" s="1"/>
  <c r="H20" i="3"/>
  <c r="H18" i="3" s="1"/>
  <c r="E445" i="7" l="1"/>
  <c r="E433" i="7" s="1"/>
  <c r="E428" i="7" s="1"/>
  <c r="E74" i="7"/>
  <c r="E76" i="7"/>
  <c r="F8" i="1"/>
  <c r="I31" i="3"/>
  <c r="H11" i="1"/>
  <c r="E10" i="3"/>
  <c r="E8" i="3" s="1"/>
  <c r="I22" i="3"/>
  <c r="I21" i="3" s="1"/>
  <c r="I11" i="3" s="1"/>
  <c r="H22" i="3"/>
  <c r="H21" i="3" s="1"/>
  <c r="H11" i="3" s="1"/>
  <c r="E422" i="7" l="1"/>
  <c r="E421" i="7" s="1"/>
  <c r="E420" i="7" s="1"/>
  <c r="E423" i="7"/>
  <c r="E70" i="7"/>
  <c r="E69" i="7" s="1"/>
  <c r="E71" i="7"/>
  <c r="F14" i="1"/>
  <c r="I11" i="1"/>
  <c r="I10" i="3"/>
  <c r="H10" i="3"/>
  <c r="H8" i="1"/>
  <c r="I8" i="1" s="1"/>
  <c r="E403" i="7" l="1"/>
  <c r="E417" i="7"/>
  <c r="E412" i="7" s="1"/>
  <c r="E407" i="7" s="1"/>
  <c r="E67" i="7"/>
  <c r="E68" i="7"/>
  <c r="E489" i="7" s="1"/>
  <c r="H14" i="1"/>
  <c r="I14" i="1" s="1"/>
  <c r="G19" i="3"/>
  <c r="E385" i="7" l="1"/>
  <c r="E387" i="7"/>
  <c r="E384" i="7" s="1"/>
  <c r="E389" i="7"/>
  <c r="E401" i="7"/>
  <c r="B17" i="5"/>
  <c r="B16" i="5" s="1"/>
  <c r="E66" i="7"/>
  <c r="E59" i="7" s="1"/>
  <c r="E53" i="7" s="1"/>
  <c r="E47" i="7" s="1"/>
  <c r="E38" i="7" s="1"/>
  <c r="G20" i="3"/>
  <c r="G18" i="3" s="1"/>
  <c r="G23" i="3"/>
  <c r="O12" i="3"/>
  <c r="E397" i="7" l="1"/>
  <c r="E393" i="7" s="1"/>
  <c r="E395" i="7"/>
  <c r="E392" i="7" s="1"/>
  <c r="E44" i="3" s="1"/>
  <c r="E36" i="3"/>
  <c r="E383" i="7"/>
  <c r="E382" i="7" s="1"/>
  <c r="E381" i="7" s="1"/>
  <c r="E30" i="7"/>
  <c r="E29" i="7"/>
  <c r="G25" i="3"/>
  <c r="G13" i="3"/>
  <c r="G12" i="3" s="1"/>
  <c r="G24" i="3"/>
  <c r="N38" i="3" l="1"/>
  <c r="E259" i="7"/>
  <c r="E257" i="7" s="1"/>
  <c r="E252" i="7" s="1"/>
  <c r="E245" i="7" s="1"/>
  <c r="E379" i="7"/>
  <c r="E28" i="7"/>
  <c r="E27" i="7" s="1"/>
  <c r="E39" i="3"/>
  <c r="G22" i="3"/>
  <c r="G21" i="3" s="1"/>
  <c r="G37" i="3"/>
  <c r="E26" i="7" l="1"/>
  <c r="E25" i="7" s="1"/>
  <c r="E488" i="7"/>
  <c r="E499" i="7" s="1"/>
  <c r="G32" i="3"/>
  <c r="G31" i="3" s="1"/>
  <c r="E23" i="7" l="1"/>
  <c r="E18" i="7" s="1"/>
  <c r="E11" i="7" s="1"/>
  <c r="E4" i="7"/>
  <c r="B13" i="5" s="1"/>
  <c r="B12" i="5" s="1"/>
  <c r="B11" i="5" s="1"/>
  <c r="B10" i="5" s="1"/>
  <c r="J11" i="1"/>
  <c r="M11" i="3"/>
  <c r="G17" i="3"/>
  <c r="G16" i="3" s="1"/>
  <c r="G11" i="3" s="1"/>
  <c r="K11" i="3" l="1"/>
  <c r="O11" i="3" s="1"/>
  <c r="O15" i="3" s="1"/>
  <c r="G10" i="3"/>
  <c r="G14" i="1" l="1"/>
  <c r="J8" i="1"/>
  <c r="K47" i="3"/>
  <c r="L47" i="3" s="1"/>
  <c r="K52" i="3"/>
  <c r="K56" i="3"/>
  <c r="L56" i="3" s="1"/>
  <c r="F486" i="7"/>
  <c r="E38" i="3" l="1"/>
  <c r="N33" i="3" s="1"/>
  <c r="E480" i="7"/>
  <c r="E486" i="7" s="1"/>
  <c r="E37" i="3" l="1"/>
  <c r="E32" i="3" s="1"/>
  <c r="E31" i="3" l="1"/>
  <c r="N30" i="3" l="1"/>
</calcChain>
</file>

<file path=xl/comments1.xml><?xml version="1.0" encoding="utf-8"?>
<comments xmlns="http://schemas.openxmlformats.org/spreadsheetml/2006/main">
  <authors>
    <author>Katarina</author>
  </authors>
  <commentList>
    <comment ref="F15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0970
</t>
        </r>
      </text>
    </comment>
    <comment ref="F20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0970
</t>
        </r>
      </text>
    </comment>
    <comment ref="G25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 2023: 357.223,90 kn ;   47.411,76 EUR
</t>
        </r>
      </text>
    </comment>
    <comment ref="F66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limit:267.973,10 kn ; 35.566,14 EUR
</t>
        </r>
      </text>
    </comment>
    <comment ref="G66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limit 61.197 EUR</t>
        </r>
      </text>
    </comment>
    <comment ref="F79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0980 F
</t>
        </r>
      </text>
    </comment>
    <comment ref="F87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0980 F</t>
        </r>
      </text>
    </comment>
    <comment ref="F92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0980
</t>
        </r>
      </text>
    </comment>
    <comment ref="F98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 0980
</t>
        </r>
      </text>
    </comment>
    <comment ref="F259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fp 2022 VANŽUPANIJSKI: 8.217.086KN;  1.090.594,73 eur</t>
        </r>
      </text>
    </comment>
  </commentList>
</comments>
</file>

<file path=xl/comments2.xml><?xml version="1.0" encoding="utf-8"?>
<comments xmlns="http://schemas.openxmlformats.org/spreadsheetml/2006/main">
  <authors>
    <author>Katarina</author>
  </authors>
  <commentList>
    <comment ref="F37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218273,21</t>
        </r>
      </text>
    </comment>
    <comment ref="F47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1420,13
</t>
        </r>
      </text>
    </comment>
    <comment ref="F60" authorId="0" shapeId="0">
      <text>
        <r>
          <rPr>
            <b/>
            <sz val="9"/>
            <color indexed="81"/>
            <rFont val="Segoe UI"/>
            <family val="2"/>
            <charset val="238"/>
          </rPr>
          <t>Katarina:</t>
        </r>
        <r>
          <rPr>
            <sz val="9"/>
            <color indexed="81"/>
            <rFont val="Segoe UI"/>
            <family val="2"/>
            <charset val="238"/>
          </rPr>
          <t xml:space="preserve">
6781,46</t>
        </r>
      </text>
    </comment>
  </commentList>
</comments>
</file>

<file path=xl/sharedStrings.xml><?xml version="1.0" encoding="utf-8"?>
<sst xmlns="http://schemas.openxmlformats.org/spreadsheetml/2006/main" count="1375" uniqueCount="454">
  <si>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</si>
  <si>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</si>
  <si>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</si>
  <si>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</si>
  <si>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</si>
  <si>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</si>
  <si>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</si>
  <si>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</si>
  <si>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</si>
  <si>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</si>
  <si>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</si>
  <si>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</si>
  <si>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</si>
  <si>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</si>
  <si>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</si>
  <si>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</si>
  <si>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</si>
  <si>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</si>
  <si>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</si>
  <si>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</si>
  <si>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</si>
  <si>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</si>
  <si>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</si>
  <si>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</si>
  <si>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</si>
  <si>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</si>
  <si>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</si>
  <si>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</si>
  <si>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</si>
  <si>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</si>
  <si>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</si>
  <si>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</si>
  <si>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</si>
  <si>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</si>
  <si>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</si>
  <si>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</si>
  <si>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</si>
  <si>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</si>
  <si>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</si>
  <si>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</si>
  <si>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</si>
  <si>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</si>
  <si>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</si>
  <si>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</si>
  <si>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Plan za 2023.</t>
  </si>
  <si>
    <t>Projekcija 
za 2025.</t>
  </si>
  <si>
    <t>Pomoći iz inozemstva i od subjekata unutar općeg proračuna</t>
  </si>
  <si>
    <t>Ostali prihodi za posebne namjene</t>
  </si>
  <si>
    <t>C) PRENESENI VIŠAK ILI PRENESENI MANJAK I VIŠEGODIŠNJI PLAN URAVNOTEŽENJA</t>
  </si>
  <si>
    <t>Naziv</t>
  </si>
  <si>
    <t>1.1.</t>
  </si>
  <si>
    <t>3.3.</t>
  </si>
  <si>
    <t>5.K.</t>
  </si>
  <si>
    <t>Kapitalni projekt K100128</t>
  </si>
  <si>
    <t>Izrada projektne dokumentacije za dogradnju škole i dvorane</t>
  </si>
  <si>
    <t>MINIMALNI STANDARD U OSNOVNOM ŠKOLSTVU- MATERIJALNI I FINANCIJSKI RASHODI-decentralizirana sredstva</t>
  </si>
  <si>
    <t>Aktivnost A100001</t>
  </si>
  <si>
    <t xml:space="preserve">Rashodi poslovanja </t>
  </si>
  <si>
    <t>Službena putovanja</t>
  </si>
  <si>
    <t>Stručno usavršavanje zaposlenika</t>
  </si>
  <si>
    <t>Uredski mater.i ost.mater.rashodi</t>
  </si>
  <si>
    <t>Energija</t>
  </si>
  <si>
    <t>Sitni inventar i auto-gume</t>
  </si>
  <si>
    <t>Služb.radna i zaštitna odjeća i obuća</t>
  </si>
  <si>
    <t>Usluge telefona,pošte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</si>
  <si>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</si>
  <si>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</si>
  <si>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</si>
  <si>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</si>
  <si>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</si>
  <si>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</si>
  <si>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</si>
  <si>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Reprezentacija</t>
  </si>
  <si>
    <t>Članarine</t>
  </si>
  <si>
    <t>Naknade i pristojbe</t>
  </si>
  <si>
    <t>Ostali nespomenuti rashodi poslovanja</t>
  </si>
  <si>
    <t>Bankarske usluge i usluge pl.prometa</t>
  </si>
  <si>
    <t>Aktivnost A100002</t>
  </si>
  <si>
    <t>Mater.i dijelovi za tekuće i invest.održ.</t>
  </si>
  <si>
    <t>Usluge tekućeg i invest.održavanja</t>
  </si>
  <si>
    <t>POJAČANI STANDARD U ŠKOLSTVU</t>
  </si>
  <si>
    <t>Tekući projekt T100003</t>
  </si>
  <si>
    <t>Naknade za rad predst.i izvršnih tijela</t>
  </si>
  <si>
    <t>Ostali nespomenuti rashodi</t>
  </si>
  <si>
    <t>Tekući projekt T100006</t>
  </si>
  <si>
    <t>Tekući projekt T100027</t>
  </si>
  <si>
    <t>Plaće za redovan rad</t>
  </si>
  <si>
    <t>Ostali rashodi za zaposlene</t>
  </si>
  <si>
    <t>Doprinosi za obvezno zdr.osiguranje</t>
  </si>
  <si>
    <t>Naknade za prijevoz, rad na terenu</t>
  </si>
  <si>
    <t>KAPITALNO ULAGANJE</t>
  </si>
  <si>
    <t>OPREMA ŠKOLA</t>
  </si>
  <si>
    <t xml:space="preserve">Tekući projekt T100002 </t>
  </si>
  <si>
    <t>TEKUĆE I INVESTICIJSKO ODRŽAVANJE U ŠKOLSTVU</t>
  </si>
  <si>
    <t>PROGRAMI OSNOVNIH ŠKOLA IZVAN ŽUPANIJSKOG PRORAČUNA</t>
  </si>
  <si>
    <t>Sitan inventar</t>
  </si>
  <si>
    <t>Usluge tekućeg i investicisjkog održavanja</t>
  </si>
  <si>
    <t>Premije osiguranja</t>
  </si>
  <si>
    <t>Financijski rashodi</t>
  </si>
  <si>
    <t>Bankarske usluge i usluge platbog promet</t>
  </si>
  <si>
    <t>Zatezne kamate</t>
  </si>
  <si>
    <t>Ostali rashodi</t>
  </si>
  <si>
    <t>Tekuće donacije</t>
  </si>
  <si>
    <t>Tekuće donacije u novcu</t>
  </si>
  <si>
    <t>Rashodi za nabavu proizvedene dugotrajne  imovine</t>
  </si>
  <si>
    <t>Uredska oprema i namještaj</t>
  </si>
  <si>
    <t>Oprema za održavanje i zaštitu</t>
  </si>
  <si>
    <t>Uređaji, strojevi i oprema za ost.namjene</t>
  </si>
  <si>
    <t>Knjige u knjižnicama</t>
  </si>
  <si>
    <t>Doprinosi za obv.osig.u slučaju nezaposlenosti</t>
  </si>
  <si>
    <t>Naknada za nezapošlj.invalida</t>
  </si>
  <si>
    <t>Troškovi sudskih postupaka</t>
  </si>
  <si>
    <t>Materijal i sirovine</t>
  </si>
  <si>
    <t>Uređaji, strojevi i oprema za ostale namjene</t>
  </si>
  <si>
    <t>Tekući projekt T100020</t>
  </si>
  <si>
    <t>Uredski mater.i ost.mater.ras.-udžben.</t>
  </si>
  <si>
    <t>Knjige i udžbenici</t>
  </si>
  <si>
    <t>Aktivnost A10001</t>
  </si>
  <si>
    <t>Izvor financiranja 4.1.</t>
  </si>
  <si>
    <t>Decentralizirana sredstva OŠ</t>
  </si>
  <si>
    <t>PROGRAM 1001</t>
  </si>
  <si>
    <t>Aktivnost A10002</t>
  </si>
  <si>
    <t>Tekuće i investicijsko održavanje</t>
  </si>
  <si>
    <t>Županijska stručna vijeća</t>
  </si>
  <si>
    <t>Izvor financiranja 1.1.</t>
  </si>
  <si>
    <t>Aktivnost A10003</t>
  </si>
  <si>
    <t>Natjecanja</t>
  </si>
  <si>
    <t>Ostale izvanškolske aktivnosti</t>
  </si>
  <si>
    <t>Tekući projekt T100054</t>
  </si>
  <si>
    <t>Prsten potpore V</t>
  </si>
  <si>
    <t>Minist. znanosti, obrazov. i sporta-ESF.</t>
  </si>
  <si>
    <t>E-tehničar</t>
  </si>
  <si>
    <t>Tekući projekt T100041</t>
  </si>
  <si>
    <t>Izvor financiranja 3.3.</t>
  </si>
  <si>
    <t>POTICANJE KORIŠTENJA SREDSTAVA IZ FONDOVA EU</t>
  </si>
  <si>
    <t>Tekući projekt T 100011</t>
  </si>
  <si>
    <t>Školska shema voća, povrća te mlijeka i mliječnih proizvoda</t>
  </si>
  <si>
    <t>Izvor financiranja 5.Đ.</t>
  </si>
  <si>
    <t>Ministarstvo poljoprivrede</t>
  </si>
  <si>
    <t>Naknade građanima i kućanstvima u naravi</t>
  </si>
  <si>
    <t>Izvor financiranja 3.7.</t>
  </si>
  <si>
    <t>Vlastiti prihodi-višak prihoda</t>
  </si>
  <si>
    <t>Izvor financiranja 4.L.</t>
  </si>
  <si>
    <t>Prihodi za posebne namjene</t>
  </si>
  <si>
    <t>Izvor financiranja 5.K.</t>
  </si>
  <si>
    <t>Pomoći</t>
  </si>
  <si>
    <t>Donacije</t>
  </si>
  <si>
    <t>Administrativno, tehničko i stručno osoblje</t>
  </si>
  <si>
    <t>Školska kuhinja</t>
  </si>
  <si>
    <t>Nabava udžbenika za učenike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</si>
  <si>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</si>
  <si>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</si>
  <si>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</si>
  <si>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</si>
  <si>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</si>
  <si>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4.1.</t>
  </si>
  <si>
    <t>Decentralizirana sredstva</t>
  </si>
  <si>
    <t>MZO</t>
  </si>
  <si>
    <t>3.7.</t>
  </si>
  <si>
    <t>Višak prihoda (92)-'Vlastiti prihodi</t>
  </si>
  <si>
    <t>4.L.</t>
  </si>
  <si>
    <t>6.</t>
  </si>
  <si>
    <t>5.Đ</t>
  </si>
  <si>
    <t>Ministrastvo poljoprivrede</t>
  </si>
  <si>
    <t>Naknade kućanstvima</t>
  </si>
  <si>
    <t>Dugotrajna imovina</t>
  </si>
  <si>
    <t>Prihodi od imovine</t>
  </si>
  <si>
    <t>Prihodi od prodaje roba, proizvoda i usluga</t>
  </si>
  <si>
    <t>Prihodi od upravnih i administrativnih pristojbi</t>
  </si>
  <si>
    <t>Prihodi iz nadležnog proračuna i od HZZO</t>
  </si>
  <si>
    <t>5.Đ.</t>
  </si>
  <si>
    <t>UP</t>
  </si>
  <si>
    <t>UR</t>
  </si>
  <si>
    <t>UKUPNI PRIHODI:</t>
  </si>
  <si>
    <t>UKUPNI RASHODI:</t>
  </si>
  <si>
    <t>Višak prihoda-Pomoći</t>
  </si>
  <si>
    <t>Višak prihoda-'Pomoći</t>
  </si>
  <si>
    <t>3431</t>
  </si>
  <si>
    <t>3293</t>
  </si>
  <si>
    <t>3291</t>
  </si>
  <si>
    <t>3299</t>
  </si>
  <si>
    <t>3111</t>
  </si>
  <si>
    <t>3121</t>
  </si>
  <si>
    <t>3132</t>
  </si>
  <si>
    <t>3211</t>
  </si>
  <si>
    <t>3212</t>
  </si>
  <si>
    <t>3224</t>
  </si>
  <si>
    <t>3232</t>
  </si>
  <si>
    <t>3433</t>
  </si>
  <si>
    <t>4221</t>
  </si>
  <si>
    <t>4223</t>
  </si>
  <si>
    <t>4227</t>
  </si>
  <si>
    <t>4241</t>
  </si>
  <si>
    <t>3292</t>
  </si>
  <si>
    <t>Zdravstvene i veterinarske usluge (covid)</t>
  </si>
  <si>
    <t>3236</t>
  </si>
  <si>
    <t>3133</t>
  </si>
  <si>
    <t>3295</t>
  </si>
  <si>
    <t>3296</t>
  </si>
  <si>
    <t>3221</t>
  </si>
  <si>
    <t>3222</t>
  </si>
  <si>
    <t>3225</t>
  </si>
  <si>
    <t>Izvor financiranja 5.D.</t>
  </si>
  <si>
    <t xml:space="preserve">Zdravstvene i veterinarske usluge </t>
  </si>
  <si>
    <t>3214</t>
  </si>
  <si>
    <t>Ostale naknade troškova zaposlenima</t>
  </si>
  <si>
    <t>3227</t>
  </si>
  <si>
    <t>3237</t>
  </si>
  <si>
    <t>3233</t>
  </si>
  <si>
    <t>3722</t>
  </si>
  <si>
    <t>Usluge tekućeg i investicijskog održavanja</t>
  </si>
  <si>
    <t>Rashodi za nabavu proizvedene dugotrajne imovine</t>
  </si>
  <si>
    <t>4212</t>
  </si>
  <si>
    <t>Dodatna ulaganja na građevinskim objektima</t>
  </si>
  <si>
    <t>4511</t>
  </si>
  <si>
    <t>5.T.</t>
  </si>
  <si>
    <t>5.D.</t>
  </si>
  <si>
    <t>6.3.</t>
  </si>
  <si>
    <t>EUR</t>
  </si>
  <si>
    <t>PROGRAM 1002</t>
  </si>
  <si>
    <t>Tekući projekt T00001</t>
  </si>
  <si>
    <t>Tekući projekt T00002</t>
  </si>
  <si>
    <t>PROGRAM 1003</t>
  </si>
  <si>
    <t>Aktivnost A 100001</t>
  </si>
  <si>
    <t>Tekuće i investicijsko održavanje u školstvu</t>
  </si>
  <si>
    <t>Dodatna ulaganja</t>
  </si>
  <si>
    <t>Izvor financiranja 6.3.</t>
  </si>
  <si>
    <t>Prsten potpore VI</t>
  </si>
  <si>
    <t>Tekući projekt T100055</t>
  </si>
  <si>
    <t>0980 Usluge u obrazovanju koje nisu drugdje svrstane</t>
  </si>
  <si>
    <t>Prsten potpore VII</t>
  </si>
  <si>
    <t>ukupno EUR:</t>
  </si>
  <si>
    <t>VIŠAK 3.7. i 5.D.</t>
  </si>
  <si>
    <t>UKUPNO KLASA:</t>
  </si>
  <si>
    <t>UKUPNO IZVORI FINANCIRANJA:</t>
  </si>
  <si>
    <t>098 Usluge obrazovanja koje nisu drugdje svrstane</t>
  </si>
  <si>
    <t>UKUPNO:</t>
  </si>
  <si>
    <t>Izvor financiranja 5.T.</t>
  </si>
  <si>
    <t>097 Istraživanje i razvoj obrazovanja</t>
  </si>
  <si>
    <t>0970 Istraživanje i razvoj obrazovanja</t>
  </si>
  <si>
    <t>Voditelj računovodstva:</t>
  </si>
  <si>
    <t>Ravnatelj:</t>
  </si>
  <si>
    <t>Predsjednik Školskog odbora:</t>
  </si>
  <si>
    <t>Katarina Bečić Mutvar</t>
  </si>
  <si>
    <t>Mileo Todić</t>
  </si>
  <si>
    <t>Romana Orlić</t>
  </si>
  <si>
    <t>Izvršenje 2022.</t>
  </si>
  <si>
    <t>Plan 2023.</t>
  </si>
  <si>
    <t>Strojevi za ostale namjene-kuhinja</t>
  </si>
  <si>
    <t>Dodatna ulaganja na nefinanc.imovini</t>
  </si>
  <si>
    <t>Tekući projekt T00015</t>
  </si>
  <si>
    <t>Nabava pribora za školsku kuhinju</t>
  </si>
  <si>
    <t>Rashodi za nabavu nefinanc.imovine</t>
  </si>
  <si>
    <t>Plan za 2024.</t>
  </si>
  <si>
    <t>Projekcija 
za 2026.</t>
  </si>
  <si>
    <t>5.T</t>
  </si>
  <si>
    <t>kn</t>
  </si>
  <si>
    <t>Službena, radana i zaštitna odjeća i obuća</t>
  </si>
  <si>
    <t>Opskrba besplatnim zalihama menstrualnih higijenskih poptrepština</t>
  </si>
  <si>
    <t>Tekući projekt T100058</t>
  </si>
  <si>
    <t>Prsten potpore VII  (IX)</t>
  </si>
  <si>
    <t>Prsten potpore VII  (VIII)</t>
  </si>
  <si>
    <t>PRIJEDLOG FINANCIJSKOG PLANA PRORAČUNSKOG KORISNIKA JEDINICE LOKALNE I PODRUČNE (REGIONALNE) SAMOUPRAVE 
ZA 2023. I PROJEKCIJA ZA 2024. I 2025. GODINU</t>
  </si>
  <si>
    <t>PRIJEDLOG FINANCIJSKOG PLANA PRORAČUNSKOG KORISNIKA JEDINICE LOKALNE I PODRUČNE (REGIONALNE) SAMOUPRAVE 
ZA 2024. I PROJEKCIJA ZA 2025. I 2026. GODINU</t>
  </si>
  <si>
    <t>PRIJEDLOG FINANCIJSKOG PLANA PRORAČUNSKOG KORISNIKA JEDINICE LOKALNE I PODRUČNE (REGIONALNE) SAMOUPRAVE 
ZA 2024. I PROJEKCIJA ZA 2054. I 2026. GODINU</t>
  </si>
  <si>
    <t>IZVRŠENJE  FINANCIJSKOG PLANA PRORAČUNSKOG KORISNIKA JEDINICE LOKALNE I PODRUČNE (REGIONALNE) SAMOUPRAVE 
NA DAN 30.06.2024.</t>
  </si>
  <si>
    <t>Izvršenje FP na 30.06.2024.</t>
  </si>
  <si>
    <t>NPOO</t>
  </si>
  <si>
    <t>Tekući projekt T00016</t>
  </si>
  <si>
    <t>Knjige za školsku knjižnicu</t>
  </si>
  <si>
    <t>Knjige</t>
  </si>
  <si>
    <t>Izvršenje FP na 30.06.2023.</t>
  </si>
  <si>
    <t>Izvršenje30.06.2023.</t>
  </si>
  <si>
    <t>Izvršenje 30.06.2024.</t>
  </si>
  <si>
    <t>Donacije i ostali rashodi</t>
  </si>
  <si>
    <t>3812</t>
  </si>
  <si>
    <t>Tekuće donacije u naravi</t>
  </si>
  <si>
    <t>ŽUP.UK</t>
  </si>
  <si>
    <t>OPĆI DIO</t>
  </si>
  <si>
    <t>Konto</t>
  </si>
  <si>
    <t>IZVRŠENJE 30.06.2023.</t>
  </si>
  <si>
    <t>INDEKS 5/3*100</t>
  </si>
  <si>
    <t>INDEKS 5/4*100</t>
  </si>
  <si>
    <t>UKUPNI PRIHODI</t>
  </si>
  <si>
    <t>6</t>
  </si>
  <si>
    <t>63</t>
  </si>
  <si>
    <t>POMOĆI IZ INOZEMSTVA I OD SUBJEKATA UNUTAR OPĆEG PRORAČUNA</t>
  </si>
  <si>
    <t>636</t>
  </si>
  <si>
    <t>POMOĆI PRORAČUNSKIM KORISNICIMA IZ PRORAČUNA KOJI IME NIJE NADLEŽAN</t>
  </si>
  <si>
    <t>6361</t>
  </si>
  <si>
    <t>TEKUĆE POMOĆI PRORAČUNSKIM KORISNICIMA IZ PRORAČUNA KOJI IME NIJE NADLEŽAN</t>
  </si>
  <si>
    <t>-</t>
  </si>
  <si>
    <t>6362</t>
  </si>
  <si>
    <t>KAPITALNE POMOĆI PRORAČUNSKIM KORISNICIMA IZ PRORAČUNA KOJI IME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</si>
  <si>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</si>
  <si>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</si>
  <si>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</si>
  <si>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</si>
  <si>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</si>
  <si>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</si>
  <si>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</si>
  <si>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</si>
  <si>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</si>
  <si>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</si>
  <si>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</si>
  <si>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</si>
  <si>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</si>
  <si>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OPD PRODAJE PROIZVODA, ROBA I USLUGA TE PRIHODI OD DONACIJA I POVRATI PROTEST.JAMSTAVA</t>
  </si>
  <si>
    <t>661</t>
  </si>
  <si>
    <t>PRIHODI OPD PRODAJE PROIZVODA, ROBA I USLUGA</t>
  </si>
  <si>
    <t>PRIHODI OD PRODAJE PROIZVODA</t>
  </si>
  <si>
    <t>6615</t>
  </si>
  <si>
    <t>PRIHODI OD PRUŽENIH USLUGA</t>
  </si>
  <si>
    <t>663</t>
  </si>
  <si>
    <t>DONACIJE OD PRAVNIH I FIZIČKIH OSOBA IZVAN OPĆEG PRORAČUNA</t>
  </si>
  <si>
    <t>6631</t>
  </si>
  <si>
    <t>TEKUĆE DONACIJE</t>
  </si>
  <si>
    <t>67</t>
  </si>
  <si>
    <t>PRIHODI IZ NADLEŽNOG PRORAČUNA I OD HZZO TEMELJEM UGOVORNIH OBVEZA</t>
  </si>
  <si>
    <t>671</t>
  </si>
  <si>
    <t>PRIHODI IZ NADLEŽNOG PRORAČUNA ZA FINANCIRANJE REDOVNE DJELATNOSTI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</si>
  <si>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</si>
  <si>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</si>
  <si>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</si>
  <si>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</si>
  <si>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PRIHODI OD PRODAJE NEPROIZV.DUGOTR. NEFINANCIJSKE IMOVINE</t>
  </si>
  <si>
    <t>PRIHODI OD PRODAJE GRAĐEVINSKIH OBJEKATA</t>
  </si>
  <si>
    <t>Manjak prihoda</t>
  </si>
  <si>
    <t>IZVRŠENJE RASHODA PO EKONOMSKOJ KLASIFIKACIJI</t>
  </si>
  <si>
    <t>IZVRŠENJE 30.6.2023.</t>
  </si>
  <si>
    <t>3</t>
  </si>
  <si>
    <t>RASHODI</t>
  </si>
  <si>
    <t>31</t>
  </si>
  <si>
    <t>RASHODI ZA ZAPOSLENE</t>
  </si>
  <si>
    <t>311</t>
  </si>
  <si>
    <t>PLAĆE (BRUTO)</t>
  </si>
  <si>
    <t>PLAĆE-BRUTO- ZA REDOVAN RAD</t>
  </si>
  <si>
    <t>312</t>
  </si>
  <si>
    <t>OSTALI RASHODI ZA ZAPOSLENE</t>
  </si>
  <si>
    <t>313</t>
  </si>
  <si>
    <t>DOPRINOSI NA PLAĆE</t>
  </si>
  <si>
    <t>DOPRINOSI ZA ZDRAVSTVENO OSIGURANJE</t>
  </si>
  <si>
    <t>DOPRINOSI ZA ZAPOŠLJAVANJE</t>
  </si>
  <si>
    <t>32</t>
  </si>
  <si>
    <t>MATERIJALNI RASHODI</t>
  </si>
  <si>
    <t>321</t>
  </si>
  <si>
    <t>NAKNADE TROŠKOVA ZAPOSLENIMA</t>
  </si>
  <si>
    <t>SLUŽBENA PUTOVANJA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</si>
  <si>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</si>
  <si>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</si>
  <si>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</si>
  <si>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</si>
  <si>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</si>
  <si>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UREDSKI MATERIJAL I OSTALI MATERIJALNI RASHODI</t>
  </si>
  <si>
    <t>MATERIJAL I SIROVINE</t>
  </si>
  <si>
    <t>3223</t>
  </si>
  <si>
    <t>ENERGIJA</t>
  </si>
  <si>
    <t>MATERIJAL I DIJELOVI ZA TEKUĆE I INVESTICIJSKO ODRŽAVANJE</t>
  </si>
  <si>
    <t>SITNI INVENTAR I AUTO GUME</t>
  </si>
  <si>
    <t>SLUŽBENA, RADNA I ZAŠTITNA  ODJEĆA I OBUĆA</t>
  </si>
  <si>
    <t>323</t>
  </si>
  <si>
    <t>RASHODI ZA USLUGE</t>
  </si>
  <si>
    <t>3231</t>
  </si>
  <si>
    <t>USLUGE TELEFONA, POŠTE I PRIJEVOZA</t>
  </si>
  <si>
    <t>USLUGE TEKUĆEG I INVESTICIJSKOG ODRŽAVANJA</t>
  </si>
  <si>
    <t>USLUGE PROMIDŽBE I INFORMIRANJA</t>
  </si>
  <si>
    <t>3234</t>
  </si>
  <si>
    <t>KOMUNALNE USLUGE</t>
  </si>
  <si>
    <t>3235</t>
  </si>
  <si>
    <t>ZAKUPNINE I NAJMANINE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</si>
  <si>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</si>
  <si>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</si>
  <si>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</si>
  <si>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</si>
  <si>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</si>
  <si>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</si>
  <si>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</si>
  <si>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</si>
  <si>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NAKNADE ZA RAD PREDS.TIJELA</t>
  </si>
  <si>
    <t>PREMIJE OSIGURANJA</t>
  </si>
  <si>
    <t>REPREZENTACIJA</t>
  </si>
  <si>
    <t>ČLANARINE</t>
  </si>
  <si>
    <t>PRISTOJBE I NAKNADE</t>
  </si>
  <si>
    <t>TROŠKOVI SUDSKIH POSTUPAKA</t>
  </si>
  <si>
    <t>34</t>
  </si>
  <si>
    <t>343</t>
  </si>
  <si>
    <t>OSTALI FINANCIJSKI RASHODI</t>
  </si>
  <si>
    <t>BANKARSKE USLUGE I USLUGE PLATNOG PROMETA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</si>
  <si>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</si>
  <si>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</si>
  <si>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</si>
  <si>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</si>
  <si>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</si>
  <si>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NAKNADE GRAĐANIMA I KUĆANSTVIMA U NARAVI</t>
  </si>
  <si>
    <t>DONACIJE</t>
  </si>
  <si>
    <t>4</t>
  </si>
  <si>
    <t>42</t>
  </si>
  <si>
    <t>RASHODI ZA NABAVU PROIZVEDENE DUGOTRAJNE IMOVINE</t>
  </si>
  <si>
    <t>421</t>
  </si>
  <si>
    <t>GRAĐEVINSKI OBJEKTI</t>
  </si>
  <si>
    <t>POSLOVNI OBJEKTI</t>
  </si>
  <si>
    <t>422</t>
  </si>
  <si>
    <t>POSTROJENJA I OPREMA</t>
  </si>
  <si>
    <t>UREDSKA OPREMA I NAMJEŠTAJ</t>
  </si>
  <si>
    <t>OPREMA ZA ODRŽAVANJE I ZAŠTITU</t>
  </si>
  <si>
    <t>UREĐAJI, STROJEVI I OPREMA ZA OSTALE NAMJENE</t>
  </si>
  <si>
    <t>424</t>
  </si>
  <si>
    <t>KNJIGE, UMJETNIČKA DJELA</t>
  </si>
  <si>
    <t>KNJIGE</t>
  </si>
  <si>
    <t>45</t>
  </si>
  <si>
    <t>RASHODI ZA DODATNA ULAGANJA NA NEFINANCIJSKOJ IMOVINI</t>
  </si>
  <si>
    <t>451</t>
  </si>
  <si>
    <t>DODATNA ULAGANJA NA GRAĐEVINSKIM OBJEKTIMA</t>
  </si>
  <si>
    <t>Brojčana oznaka i naziv izvora financiranja</t>
  </si>
  <si>
    <t>Izvršenje 30.6.2023.</t>
  </si>
  <si>
    <t>Indeks 4/2</t>
  </si>
  <si>
    <t>Indeks 4/3</t>
  </si>
  <si>
    <t>Razlika</t>
  </si>
  <si>
    <t>Vlastiti prihodi-višak</t>
  </si>
  <si>
    <t>UKUPNO  PRIHODI</t>
  </si>
  <si>
    <t>UKUPNO RASHODI</t>
  </si>
  <si>
    <t>PRENESENI VIŠAK/MANJAK PRIHODA</t>
  </si>
  <si>
    <t>IZVORNI PLAN 2024</t>
  </si>
  <si>
    <t>IZVRŠENJE 30.6.2024.</t>
  </si>
  <si>
    <t>IZVRŠENJE 30.06.2024.</t>
  </si>
  <si>
    <t>Izvorni plan 2024.</t>
  </si>
  <si>
    <t>Izvršenje 30.6.2024.</t>
  </si>
  <si>
    <t>Izvor financiranja 5.&amp;.</t>
  </si>
  <si>
    <t>5.&amp;.</t>
  </si>
  <si>
    <t>TEKUĆI PRIJENOSDI IZMEĐU PRORAČUNSKIH KORISNIKA</t>
  </si>
  <si>
    <t>KAPITALNE DONACIJE</t>
  </si>
  <si>
    <t>STAMBENI OBJEKTI</t>
  </si>
  <si>
    <t>Višak prihoda</t>
  </si>
  <si>
    <t>PRIHODI OD NEFINANCIJSKE IMOVINE</t>
  </si>
  <si>
    <t>NAKNADA ZA KORIŠTENJE NEFINANCIJSKE IMOVINE</t>
  </si>
  <si>
    <t>OSTALE NAKNADE TROŠKOVA ZAPOSLENIMA</t>
  </si>
  <si>
    <t>IZVRŠENJE PRIHODA I RASHODA PREMA IZVORIMA FINANCIRANJA 30.06.2024.</t>
  </si>
  <si>
    <t>IZVRŠENJE PRIHODA PO EKONOMSKOJ KLASIFIKACIJI 30.06.2024.</t>
  </si>
  <si>
    <t>IZVRŠENJE FINANCIJSKOG PLANA PRORAČUNSKOG KORISNIKA JEDINICE LOKALNE I PODRUČNE (REGIONALNE) SAMOUPRAVE 
30.06.2024.</t>
  </si>
  <si>
    <t>Izvorni plan za 2024.</t>
  </si>
  <si>
    <t>Izvršenje 30.06.2024</t>
  </si>
  <si>
    <t>Ivanić-Grad, 18.07.2024.</t>
  </si>
  <si>
    <t>Izvršenje 30.06.2023</t>
  </si>
  <si>
    <t>Indeks 4/3*100</t>
  </si>
  <si>
    <t>Rashodi za usluge</t>
  </si>
  <si>
    <t>Građevinski objekti</t>
  </si>
  <si>
    <t>Plaće bruto</t>
  </si>
  <si>
    <t>Doprinosi na plaće</t>
  </si>
  <si>
    <t>Naknade troškova zaposlenima</t>
  </si>
  <si>
    <t>Postrojenja i oprema</t>
  </si>
  <si>
    <t>Dodatna ulaganja na nefin.imovini</t>
  </si>
  <si>
    <t>Rashodi za materijal i energiju</t>
  </si>
  <si>
    <t>381</t>
  </si>
  <si>
    <t>Ostale naknade građanima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</si>
</sst>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4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Calibri"/>
      <family val="2"/>
      <charset val="238"/>
      <scheme val="minor"/>
    </font>
    <font>
      <i/>
      <sz val="10"/>
      <color rgb="FF00B05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CC66FF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theme="6" tint="-0.249977111117893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CCC0DA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C1C1FF"/>
      </patternFill>
    </fill>
    <fill>
      <patternFill patternType="solid">
        <fgColor theme="9" tint="-0.249977111117893"/>
        <bgColor rgb="FFC1C1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/>
  </cellStyleXfs>
  <cellXfs count="28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3" fillId="2" borderId="3" xfId="0" applyNumberFormat="1" applyFont="1" applyFill="1" applyBorder="1" applyAlignment="1">
      <alignment horizontal="right"/>
    </xf>
    <xf numFmtId="0" fontId="19" fillId="9" borderId="0" xfId="0" applyNumberFormat="1" applyFont="1" applyFill="1" applyBorder="1" applyAlignment="1" applyProtection="1"/>
    <xf numFmtId="4" fontId="0" fillId="0" borderId="0" xfId="0" applyNumberFormat="1"/>
    <xf numFmtId="4" fontId="3" fillId="2" borderId="4" xfId="0" applyNumberFormat="1" applyFont="1" applyFill="1" applyBorder="1" applyAlignment="1">
      <alignment horizontal="right"/>
    </xf>
    <xf numFmtId="0" fontId="11" fillId="12" borderId="3" xfId="0" applyNumberFormat="1" applyFont="1" applyFill="1" applyBorder="1" applyAlignment="1" applyProtection="1">
      <alignment horizontal="left" vertical="center" wrapText="1"/>
    </xf>
    <xf numFmtId="0" fontId="9" fillId="12" borderId="3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12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0" fontId="11" fillId="13" borderId="3" xfId="0" applyNumberFormat="1" applyFont="1" applyFill="1" applyBorder="1" applyAlignment="1" applyProtection="1">
      <alignment horizontal="left" vertical="center" wrapText="1"/>
    </xf>
    <xf numFmtId="4" fontId="6" fillId="13" borderId="3" xfId="0" applyNumberFormat="1" applyFont="1" applyFill="1" applyBorder="1" applyAlignment="1">
      <alignment horizontal="right"/>
    </xf>
    <xf numFmtId="0" fontId="11" fillId="13" borderId="3" xfId="0" applyFont="1" applyFill="1" applyBorder="1" applyAlignment="1">
      <alignment horizontal="left" vertical="center"/>
    </xf>
    <xf numFmtId="0" fontId="11" fillId="13" borderId="3" xfId="0" applyNumberFormat="1" applyFont="1" applyFill="1" applyBorder="1" applyAlignment="1" applyProtection="1">
      <alignment horizontal="left" vertical="center"/>
    </xf>
    <xf numFmtId="0" fontId="11" fillId="13" borderId="3" xfId="0" applyNumberFormat="1" applyFont="1" applyFill="1" applyBorder="1" applyAlignment="1" applyProtection="1">
      <alignment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1" fillId="14" borderId="3" xfId="0" applyNumberFormat="1" applyFont="1" applyFill="1" applyBorder="1" applyAlignment="1" applyProtection="1">
      <alignment horizontal="left" vertical="center" wrapText="1"/>
    </xf>
    <xf numFmtId="4" fontId="6" fillId="14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0" fillId="5" borderId="0" xfId="0" applyNumberFormat="1" applyFill="1"/>
    <xf numFmtId="0" fontId="0" fillId="0" borderId="0" xfId="0" applyFill="1"/>
    <xf numFmtId="4" fontId="6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vertical="center" wrapText="1"/>
    </xf>
    <xf numFmtId="0" fontId="25" fillId="15" borderId="0" xfId="0" applyNumberFormat="1" applyFont="1" applyFill="1" applyBorder="1" applyAlignment="1" applyProtection="1">
      <alignment horizontal="center" vertical="center" wrapText="1"/>
    </xf>
    <xf numFmtId="4" fontId="26" fillId="0" borderId="0" xfId="0" applyNumberFormat="1" applyFont="1" applyFill="1" applyBorder="1" applyAlignment="1" applyProtection="1">
      <alignment horizontal="center" vertical="center" wrapText="1"/>
    </xf>
    <xf numFmtId="0" fontId="27" fillId="4" borderId="4" xfId="0" applyNumberFormat="1" applyFont="1" applyFill="1" applyBorder="1" applyAlignment="1" applyProtection="1">
      <alignment horizontal="center" vertical="center" wrapText="1"/>
    </xf>
    <xf numFmtId="4" fontId="29" fillId="8" borderId="3" xfId="0" applyNumberFormat="1" applyFont="1" applyFill="1" applyBorder="1" applyAlignment="1" applyProtection="1"/>
    <xf numFmtId="4" fontId="25" fillId="2" borderId="3" xfId="0" applyNumberFormat="1" applyFont="1" applyFill="1" applyBorder="1" applyAlignment="1">
      <alignment horizontal="right"/>
    </xf>
    <xf numFmtId="4" fontId="25" fillId="2" borderId="3" xfId="0" applyNumberFormat="1" applyFont="1" applyFill="1" applyBorder="1" applyAlignment="1" applyProtection="1">
      <alignment horizontal="right" wrapText="1"/>
    </xf>
    <xf numFmtId="4" fontId="27" fillId="7" borderId="3" xfId="0" applyNumberFormat="1" applyFont="1" applyFill="1" applyBorder="1" applyAlignment="1">
      <alignment horizontal="left" vertical="center" wrapText="1" readingOrder="1"/>
    </xf>
    <xf numFmtId="4" fontId="25" fillId="4" borderId="3" xfId="0" applyNumberFormat="1" applyFont="1" applyFill="1" applyBorder="1" applyAlignment="1" applyProtection="1">
      <alignment horizontal="right" wrapText="1"/>
    </xf>
    <xf numFmtId="4" fontId="25" fillId="0" borderId="3" xfId="0" applyNumberFormat="1" applyFont="1" applyFill="1" applyBorder="1" applyAlignment="1">
      <alignment horizontal="right"/>
    </xf>
    <xf numFmtId="0" fontId="30" fillId="0" borderId="0" xfId="0" applyFont="1"/>
    <xf numFmtId="4" fontId="30" fillId="0" borderId="0" xfId="0" applyNumberFormat="1" applyFont="1"/>
    <xf numFmtId="0" fontId="30" fillId="16" borderId="0" xfId="0" applyFont="1" applyFill="1"/>
    <xf numFmtId="0" fontId="30" fillId="0" borderId="0" xfId="0" applyFont="1" applyFill="1"/>
    <xf numFmtId="0" fontId="31" fillId="4" borderId="3" xfId="0" applyNumberFormat="1" applyFont="1" applyFill="1" applyBorder="1" applyAlignment="1" applyProtection="1">
      <alignment horizontal="center" vertical="center" wrapText="1"/>
    </xf>
    <xf numFmtId="4" fontId="32" fillId="10" borderId="3" xfId="0" applyNumberFormat="1" applyFont="1" applyFill="1" applyBorder="1" applyAlignment="1">
      <alignment horizontal="right" vertical="center" wrapText="1" readingOrder="1"/>
    </xf>
    <xf numFmtId="4" fontId="31" fillId="7" borderId="3" xfId="0" applyNumberFormat="1" applyFont="1" applyFill="1" applyBorder="1" applyAlignment="1">
      <alignment horizontal="right" vertical="center" wrapText="1" readingOrder="1"/>
    </xf>
    <xf numFmtId="4" fontId="33" fillId="8" borderId="3" xfId="0" applyNumberFormat="1" applyFont="1" applyFill="1" applyBorder="1" applyAlignment="1" applyProtection="1"/>
    <xf numFmtId="4" fontId="34" fillId="4" borderId="3" xfId="0" applyNumberFormat="1" applyFont="1" applyFill="1" applyBorder="1" applyAlignment="1">
      <alignment horizontal="right"/>
    </xf>
    <xf numFmtId="4" fontId="31" fillId="2" borderId="3" xfId="0" applyNumberFormat="1" applyFont="1" applyFill="1" applyBorder="1" applyAlignment="1">
      <alignment horizontal="right"/>
    </xf>
    <xf numFmtId="4" fontId="34" fillId="2" borderId="3" xfId="0" applyNumberFormat="1" applyFont="1" applyFill="1" applyBorder="1" applyAlignment="1">
      <alignment horizontal="right"/>
    </xf>
    <xf numFmtId="4" fontId="31" fillId="2" borderId="4" xfId="0" applyNumberFormat="1" applyFont="1" applyFill="1" applyBorder="1" applyAlignment="1">
      <alignment horizontal="right"/>
    </xf>
    <xf numFmtId="4" fontId="32" fillId="6" borderId="3" xfId="0" applyNumberFormat="1" applyFont="1" applyFill="1" applyBorder="1" applyAlignment="1">
      <alignment horizontal="right" vertical="center" wrapText="1" readingOrder="1"/>
    </xf>
    <xf numFmtId="4" fontId="35" fillId="16" borderId="0" xfId="0" applyNumberFormat="1" applyFont="1" applyFill="1"/>
    <xf numFmtId="4" fontId="35" fillId="0" borderId="0" xfId="0" applyNumberFormat="1" applyFont="1"/>
    <xf numFmtId="0" fontId="35" fillId="0" borderId="0" xfId="0" applyFont="1"/>
    <xf numFmtId="4" fontId="9" fillId="12" borderId="3" xfId="0" applyNumberFormat="1" applyFont="1" applyFill="1" applyBorder="1" applyAlignment="1">
      <alignment horizontal="right"/>
    </xf>
    <xf numFmtId="4" fontId="36" fillId="0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11" fillId="7" borderId="3" xfId="0" applyNumberFormat="1" applyFont="1" applyFill="1" applyBorder="1" applyAlignment="1">
      <alignment horizontal="right" vertical="center" wrapText="1" readingOrder="1"/>
    </xf>
    <xf numFmtId="4" fontId="10" fillId="8" borderId="3" xfId="0" applyNumberFormat="1" applyFont="1" applyFill="1" applyBorder="1" applyAlignment="1" applyProtection="1"/>
    <xf numFmtId="4" fontId="9" fillId="4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17" fillId="11" borderId="3" xfId="0" applyNumberFormat="1" applyFont="1" applyFill="1" applyBorder="1" applyAlignment="1">
      <alignment horizontal="right" vertical="center" wrapText="1" readingOrder="1"/>
    </xf>
    <xf numFmtId="4" fontId="10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 applyProtection="1">
      <alignment horizontal="right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7" fillId="10" borderId="3" xfId="0" applyFont="1" applyFill="1" applyBorder="1" applyAlignment="1">
      <alignment horizontal="left" vertical="center" wrapText="1" readingOrder="1"/>
    </xf>
    <xf numFmtId="0" fontId="11" fillId="7" borderId="3" xfId="0" applyFont="1" applyFill="1" applyBorder="1" applyAlignment="1">
      <alignment horizontal="left" vertical="center" wrapText="1" readingOrder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7" fillId="6" borderId="3" xfId="0" applyFont="1" applyFill="1" applyBorder="1" applyAlignment="1">
      <alignment horizontal="left" vertical="center" wrapText="1" readingOrder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wrapText="1"/>
    </xf>
    <xf numFmtId="0" fontId="17" fillId="11" borderId="3" xfId="0" applyFont="1" applyFill="1" applyBorder="1" applyAlignment="1">
      <alignment horizontal="left" vertical="center" wrapText="1" readingOrder="1"/>
    </xf>
    <xf numFmtId="49" fontId="9" fillId="2" borderId="1" xfId="0" applyNumberFormat="1" applyFont="1" applyFill="1" applyBorder="1" applyAlignment="1" applyProtection="1">
      <alignment horizontal="left" vertical="center" wrapText="1" indent="1"/>
    </xf>
    <xf numFmtId="49" fontId="9" fillId="2" borderId="2" xfId="0" applyNumberFormat="1" applyFont="1" applyFill="1" applyBorder="1" applyAlignment="1" applyProtection="1">
      <alignment horizontal="left" vertical="center" wrapText="1" indent="1"/>
    </xf>
    <xf numFmtId="49" fontId="9" fillId="2" borderId="4" xfId="0" applyNumberFormat="1" applyFont="1" applyFill="1" applyBorder="1" applyAlignment="1" applyProtection="1">
      <alignment horizontal="left" vertical="center" wrapText="1" indent="1"/>
    </xf>
    <xf numFmtId="0" fontId="18" fillId="0" borderId="3" xfId="0" applyNumberFormat="1" applyFont="1" applyFill="1" applyBorder="1" applyAlignment="1" applyProtection="1">
      <alignment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38" fillId="0" borderId="0" xfId="0" applyFont="1"/>
    <xf numFmtId="4" fontId="38" fillId="0" borderId="0" xfId="0" applyNumberFormat="1" applyFont="1"/>
    <xf numFmtId="4" fontId="39" fillId="0" borderId="0" xfId="0" applyNumberFormat="1" applyFont="1"/>
    <xf numFmtId="0" fontId="39" fillId="0" borderId="0" xfId="0" applyFont="1"/>
    <xf numFmtId="0" fontId="40" fillId="0" borderId="0" xfId="0" applyFont="1"/>
    <xf numFmtId="4" fontId="41" fillId="0" borderId="0" xfId="0" applyNumberFormat="1" applyFont="1" applyFill="1" applyBorder="1" applyAlignment="1" applyProtection="1">
      <alignment horizontal="center" vertical="center" wrapText="1"/>
    </xf>
    <xf numFmtId="0" fontId="42" fillId="4" borderId="4" xfId="0" applyNumberFormat="1" applyFont="1" applyFill="1" applyBorder="1" applyAlignment="1" applyProtection="1">
      <alignment horizontal="center" vertical="center" wrapText="1"/>
    </xf>
    <xf numFmtId="4" fontId="43" fillId="10" borderId="3" xfId="0" applyNumberFormat="1" applyFont="1" applyFill="1" applyBorder="1" applyAlignment="1">
      <alignment horizontal="right" vertical="center" wrapText="1" readingOrder="1"/>
    </xf>
    <xf numFmtId="4" fontId="42" fillId="7" borderId="3" xfId="0" applyNumberFormat="1" applyFont="1" applyFill="1" applyBorder="1" applyAlignment="1">
      <alignment horizontal="right" vertical="center" wrapText="1" readingOrder="1"/>
    </xf>
    <xf numFmtId="4" fontId="44" fillId="8" borderId="3" xfId="0" applyNumberFormat="1" applyFont="1" applyFill="1" applyBorder="1" applyAlignment="1" applyProtection="1"/>
    <xf numFmtId="4" fontId="45" fillId="4" borderId="3" xfId="0" applyNumberFormat="1" applyFont="1" applyFill="1" applyBorder="1" applyAlignment="1">
      <alignment horizontal="right"/>
    </xf>
    <xf numFmtId="4" fontId="42" fillId="2" borderId="3" xfId="0" applyNumberFormat="1" applyFont="1" applyFill="1" applyBorder="1" applyAlignment="1">
      <alignment horizontal="right"/>
    </xf>
    <xf numFmtId="4" fontId="45" fillId="2" borderId="4" xfId="0" applyNumberFormat="1" applyFont="1" applyFill="1" applyBorder="1" applyAlignment="1">
      <alignment horizontal="right"/>
    </xf>
    <xf numFmtId="4" fontId="43" fillId="6" borderId="3" xfId="0" applyNumberFormat="1" applyFont="1" applyFill="1" applyBorder="1" applyAlignment="1">
      <alignment horizontal="right" vertical="center" wrapText="1" readingOrder="1"/>
    </xf>
    <xf numFmtId="4" fontId="42" fillId="2" borderId="4" xfId="0" applyNumberFormat="1" applyFont="1" applyFill="1" applyBorder="1" applyAlignment="1">
      <alignment horizontal="right"/>
    </xf>
    <xf numFmtId="4" fontId="43" fillId="11" borderId="3" xfId="0" applyNumberFormat="1" applyFont="1" applyFill="1" applyBorder="1" applyAlignment="1">
      <alignment horizontal="right" vertical="center" wrapText="1" readingOrder="1"/>
    </xf>
    <xf numFmtId="4" fontId="38" fillId="16" borderId="0" xfId="0" applyNumberFormat="1" applyFont="1" applyFill="1"/>
    <xf numFmtId="0" fontId="11" fillId="4" borderId="4" xfId="0" applyNumberFormat="1" applyFont="1" applyFill="1" applyBorder="1" applyAlignment="1" applyProtection="1">
      <alignment horizontal="center" vertical="center" wrapText="1"/>
    </xf>
    <xf numFmtId="4" fontId="45" fillId="2" borderId="3" xfId="0" applyNumberFormat="1" applyFont="1" applyFill="1" applyBorder="1" applyAlignment="1">
      <alignment horizontal="right"/>
    </xf>
    <xf numFmtId="4" fontId="44" fillId="2" borderId="3" xfId="0" applyNumberFormat="1" applyFont="1" applyFill="1" applyBorder="1" applyAlignment="1">
      <alignment horizontal="right"/>
    </xf>
    <xf numFmtId="4" fontId="45" fillId="0" borderId="3" xfId="0" applyNumberFormat="1" applyFont="1" applyFill="1" applyBorder="1" applyAlignment="1">
      <alignment horizontal="right"/>
    </xf>
    <xf numFmtId="0" fontId="30" fillId="17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4" fontId="31" fillId="0" borderId="3" xfId="0" applyNumberFormat="1" applyFont="1" applyFill="1" applyBorder="1" applyAlignment="1">
      <alignment horizontal="right"/>
    </xf>
    <xf numFmtId="0" fontId="35" fillId="0" borderId="0" xfId="0" applyFont="1" applyFill="1"/>
    <xf numFmtId="4" fontId="0" fillId="0" borderId="0" xfId="0" applyNumberFormat="1" applyFill="1"/>
    <xf numFmtId="4" fontId="35" fillId="0" borderId="0" xfId="0" applyNumberFormat="1" applyFont="1" applyFill="1"/>
    <xf numFmtId="4" fontId="30" fillId="0" borderId="0" xfId="0" applyNumberFormat="1" applyFont="1" applyFill="1"/>
    <xf numFmtId="4" fontId="38" fillId="0" borderId="0" xfId="0" applyNumberFormat="1" applyFont="1" applyFill="1"/>
    <xf numFmtId="0" fontId="38" fillId="0" borderId="0" xfId="0" applyFont="1" applyFill="1"/>
    <xf numFmtId="0" fontId="11" fillId="4" borderId="6" xfId="0" applyNumberFormat="1" applyFont="1" applyFill="1" applyBorder="1" applyAlignment="1" applyProtection="1">
      <alignment horizontal="center" vertical="center" wrapText="1"/>
    </xf>
    <xf numFmtId="0" fontId="1" fillId="18" borderId="0" xfId="0" applyFont="1" applyFill="1" applyAlignment="1">
      <alignment horizontal="center"/>
    </xf>
    <xf numFmtId="0" fontId="16" fillId="18" borderId="0" xfId="0" applyFont="1" applyFill="1" applyAlignment="1">
      <alignment horizontal="center"/>
    </xf>
    <xf numFmtId="4" fontId="16" fillId="18" borderId="0" xfId="0" applyNumberFormat="1" applyFont="1" applyFill="1" applyAlignment="1">
      <alignment horizontal="center" wrapText="1"/>
    </xf>
    <xf numFmtId="0" fontId="16" fillId="18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16" borderId="0" xfId="0" applyFont="1" applyFill="1" applyAlignment="1">
      <alignment horizontal="center"/>
    </xf>
    <xf numFmtId="0" fontId="16" fillId="16" borderId="0" xfId="0" applyFont="1" applyFill="1" applyAlignment="1">
      <alignment horizontal="left"/>
    </xf>
    <xf numFmtId="4" fontId="16" fillId="16" borderId="0" xfId="0" applyNumberFormat="1" applyFont="1" applyFill="1" applyAlignment="1">
      <alignment horizontal="right"/>
    </xf>
    <xf numFmtId="2" fontId="16" fillId="16" borderId="0" xfId="0" applyNumberFormat="1" applyFont="1" applyFill="1" applyAlignment="1">
      <alignment horizontal="center"/>
    </xf>
    <xf numFmtId="0" fontId="1" fillId="19" borderId="0" xfId="0" applyFont="1" applyFill="1"/>
    <xf numFmtId="0" fontId="16" fillId="19" borderId="0" xfId="0" applyFont="1" applyFill="1"/>
    <xf numFmtId="4" fontId="16" fillId="19" borderId="0" xfId="0" applyNumberFormat="1" applyFont="1" applyFill="1"/>
    <xf numFmtId="2" fontId="16" fillId="19" borderId="0" xfId="0" applyNumberFormat="1" applyFont="1" applyFill="1"/>
    <xf numFmtId="0" fontId="1" fillId="0" borderId="0" xfId="0" applyFont="1"/>
    <xf numFmtId="0" fontId="1" fillId="20" borderId="0" xfId="0" applyFont="1" applyFill="1"/>
    <xf numFmtId="0" fontId="16" fillId="20" borderId="0" xfId="0" applyFont="1" applyFill="1"/>
    <xf numFmtId="4" fontId="16" fillId="20" borderId="0" xfId="0" applyNumberFormat="1" applyFont="1" applyFill="1"/>
    <xf numFmtId="2" fontId="16" fillId="20" borderId="0" xfId="0" applyNumberFormat="1" applyFont="1" applyFill="1"/>
    <xf numFmtId="0" fontId="1" fillId="21" borderId="0" xfId="0" applyFont="1" applyFill="1"/>
    <xf numFmtId="0" fontId="16" fillId="21" borderId="0" xfId="0" applyFont="1" applyFill="1"/>
    <xf numFmtId="4" fontId="16" fillId="21" borderId="0" xfId="0" applyNumberFormat="1" applyFont="1" applyFill="1"/>
    <xf numFmtId="2" fontId="16" fillId="21" borderId="0" xfId="0" applyNumberFormat="1" applyFont="1" applyFill="1"/>
    <xf numFmtId="0" fontId="0" fillId="0" borderId="0" xfId="0" applyAlignment="1">
      <alignment horizontal="left"/>
    </xf>
    <xf numFmtId="0" fontId="46" fillId="0" borderId="0" xfId="0" applyFont="1"/>
    <xf numFmtId="4" fontId="46" fillId="0" borderId="0" xfId="0" applyNumberFormat="1" applyFont="1"/>
    <xf numFmtId="2" fontId="46" fillId="0" borderId="0" xfId="0" applyNumberFormat="1" applyFont="1"/>
    <xf numFmtId="0" fontId="46" fillId="0" borderId="0" xfId="0" applyFont="1" applyAlignment="1">
      <alignment horizontal="right"/>
    </xf>
    <xf numFmtId="0" fontId="1" fillId="20" borderId="0" xfId="0" applyFont="1" applyFill="1" applyAlignment="1">
      <alignment horizontal="left"/>
    </xf>
    <xf numFmtId="2" fontId="16" fillId="20" borderId="0" xfId="0" applyNumberFormat="1" applyFont="1" applyFill="1" applyAlignment="1">
      <alignment horizontal="right"/>
    </xf>
    <xf numFmtId="0" fontId="1" fillId="21" borderId="0" xfId="0" applyFont="1" applyFill="1" applyAlignment="1">
      <alignment horizontal="left"/>
    </xf>
    <xf numFmtId="2" fontId="16" fillId="21" borderId="0" xfId="0" applyNumberFormat="1" applyFont="1" applyFill="1" applyAlignment="1">
      <alignment horizontal="right"/>
    </xf>
    <xf numFmtId="0" fontId="1" fillId="19" borderId="0" xfId="0" applyFont="1" applyFill="1" applyAlignment="1">
      <alignment horizontal="left"/>
    </xf>
    <xf numFmtId="2" fontId="16" fillId="18" borderId="0" xfId="0" applyNumberFormat="1" applyFont="1" applyFill="1" applyAlignment="1">
      <alignment horizontal="center" wrapText="1"/>
    </xf>
    <xf numFmtId="4" fontId="16" fillId="16" borderId="0" xfId="0" applyNumberFormat="1" applyFont="1" applyFill="1" applyAlignment="1">
      <alignment horizontal="center"/>
    </xf>
    <xf numFmtId="2" fontId="16" fillId="16" borderId="0" xfId="0" applyNumberFormat="1" applyFont="1" applyFill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3" fontId="48" fillId="21" borderId="3" xfId="0" applyNumberFormat="1" applyFont="1" applyFill="1" applyBorder="1" applyAlignment="1">
      <alignment horizontal="center"/>
    </xf>
    <xf numFmtId="0" fontId="47" fillId="21" borderId="3" xfId="0" quotePrefix="1" applyFont="1" applyFill="1" applyBorder="1" applyAlignment="1">
      <alignment horizontal="left" vertical="center"/>
    </xf>
    <xf numFmtId="0" fontId="47" fillId="21" borderId="3" xfId="0" applyNumberFormat="1" applyFont="1" applyFill="1" applyBorder="1" applyAlignment="1" applyProtection="1">
      <alignment horizontal="left" vertical="center" wrapText="1"/>
    </xf>
    <xf numFmtId="4" fontId="48" fillId="21" borderId="3" xfId="0" applyNumberFormat="1" applyFont="1" applyFill="1" applyBorder="1" applyAlignment="1">
      <alignment horizontal="right"/>
    </xf>
    <xf numFmtId="0" fontId="49" fillId="0" borderId="3" xfId="0" applyNumberFormat="1" applyFont="1" applyFill="1" applyBorder="1" applyAlignment="1" applyProtection="1">
      <alignment horizontal="left" vertical="center" wrapText="1"/>
    </xf>
    <xf numFmtId="0" fontId="50" fillId="0" borderId="3" xfId="0" applyNumberFormat="1" applyFont="1" applyFill="1" applyBorder="1" applyAlignment="1" applyProtection="1">
      <alignment horizontal="left" vertical="center" wrapText="1"/>
    </xf>
    <xf numFmtId="4" fontId="51" fillId="0" borderId="3" xfId="0" applyNumberFormat="1" applyFont="1" applyFill="1" applyBorder="1" applyAlignment="1">
      <alignment horizontal="right"/>
    </xf>
    <xf numFmtId="4" fontId="0" fillId="21" borderId="0" xfId="0" applyNumberFormat="1" applyFont="1" applyFill="1"/>
    <xf numFmtId="0" fontId="0" fillId="21" borderId="0" xfId="0" applyFill="1"/>
    <xf numFmtId="4" fontId="0" fillId="21" borderId="0" xfId="0" applyNumberFormat="1" applyFill="1"/>
    <xf numFmtId="0" fontId="0" fillId="4" borderId="0" xfId="0" applyFill="1"/>
    <xf numFmtId="4" fontId="0" fillId="4" borderId="0" xfId="0" applyNumberFormat="1" applyFill="1"/>
    <xf numFmtId="0" fontId="47" fillId="4" borderId="3" xfId="0" quotePrefix="1" applyFont="1" applyFill="1" applyBorder="1" applyAlignment="1">
      <alignment horizontal="left" vertical="center"/>
    </xf>
    <xf numFmtId="4" fontId="0" fillId="4" borderId="0" xfId="0" applyNumberFormat="1" applyFont="1" applyFill="1"/>
    <xf numFmtId="4" fontId="48" fillId="4" borderId="3" xfId="0" applyNumberFormat="1" applyFont="1" applyFill="1" applyBorder="1" applyAlignment="1">
      <alignment horizontal="right"/>
    </xf>
    <xf numFmtId="0" fontId="49" fillId="21" borderId="3" xfId="0" applyNumberFormat="1" applyFont="1" applyFill="1" applyBorder="1" applyAlignment="1" applyProtection="1">
      <alignment horizontal="left" vertical="center" wrapText="1"/>
    </xf>
    <xf numFmtId="4" fontId="52" fillId="21" borderId="3" xfId="0" applyNumberFormat="1" applyFont="1" applyFill="1" applyBorder="1" applyAlignment="1">
      <alignment horizontal="right"/>
    </xf>
    <xf numFmtId="4" fontId="50" fillId="0" borderId="3" xfId="0" applyNumberFormat="1" applyFont="1" applyFill="1" applyBorder="1" applyAlignment="1">
      <alignment horizontal="right"/>
    </xf>
    <xf numFmtId="4" fontId="53" fillId="0" borderId="3" xfId="0" applyNumberFormat="1" applyFont="1" applyFill="1" applyBorder="1" applyAlignment="1">
      <alignment horizontal="right"/>
    </xf>
    <xf numFmtId="2" fontId="46" fillId="0" borderId="0" xfId="0" applyNumberFormat="1" applyFont="1" applyAlignment="1">
      <alignment horizontal="right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47" fillId="21" borderId="1" xfId="0" quotePrefix="1" applyFont="1" applyFill="1" applyBorder="1" applyAlignment="1">
      <alignment horizontal="center" vertical="center"/>
    </xf>
    <xf numFmtId="0" fontId="47" fillId="21" borderId="4" xfId="0" quotePrefix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 indent="1"/>
    </xf>
    <xf numFmtId="49" fontId="9" fillId="2" borderId="2" xfId="0" applyNumberFormat="1" applyFont="1" applyFill="1" applyBorder="1" applyAlignment="1" applyProtection="1">
      <alignment horizontal="left" vertical="center" wrapText="1" indent="1"/>
    </xf>
    <xf numFmtId="49" fontId="9" fillId="2" borderId="4" xfId="0" applyNumberFormat="1" applyFont="1" applyFill="1" applyBorder="1" applyAlignment="1" applyProtection="1">
      <alignment horizontal="left" vertical="center" wrapText="1" indent="1"/>
    </xf>
    <xf numFmtId="4" fontId="10" fillId="8" borderId="1" xfId="0" applyNumberFormat="1" applyFont="1" applyFill="1" applyBorder="1" applyAlignment="1" applyProtection="1">
      <alignment horizontal="left"/>
    </xf>
    <xf numFmtId="4" fontId="10" fillId="8" borderId="2" xfId="0" applyNumberFormat="1" applyFont="1" applyFill="1" applyBorder="1" applyAlignment="1" applyProtection="1">
      <alignment horizontal="left"/>
    </xf>
    <xf numFmtId="4" fontId="10" fillId="8" borderId="4" xfId="0" applyNumberFormat="1" applyFont="1" applyFill="1" applyBorder="1" applyAlignment="1" applyProtection="1">
      <alignment horizontal="left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11" fillId="7" borderId="1" xfId="0" applyFont="1" applyFill="1" applyBorder="1" applyAlignment="1">
      <alignment horizontal="left" vertical="center" wrapText="1" readingOrder="1"/>
    </xf>
    <xf numFmtId="0" fontId="11" fillId="7" borderId="2" xfId="0" applyFont="1" applyFill="1" applyBorder="1" applyAlignment="1">
      <alignment horizontal="left" vertical="center" wrapText="1" readingOrder="1"/>
    </xf>
    <xf numFmtId="0" fontId="11" fillId="7" borderId="4" xfId="0" applyFont="1" applyFill="1" applyBorder="1" applyAlignment="1">
      <alignment horizontal="left" vertical="center" wrapText="1" readingOrder="1"/>
    </xf>
    <xf numFmtId="0" fontId="17" fillId="11" borderId="1" xfId="0" applyFont="1" applyFill="1" applyBorder="1" applyAlignment="1">
      <alignment horizontal="center" vertical="center" wrapText="1" readingOrder="1"/>
    </xf>
    <xf numFmtId="0" fontId="17" fillId="11" borderId="2" xfId="0" applyFont="1" applyFill="1" applyBorder="1" applyAlignment="1">
      <alignment horizontal="center" vertical="center" wrapText="1" readingOrder="1"/>
    </xf>
    <xf numFmtId="0" fontId="17" fillId="11" borderId="4" xfId="0" applyFont="1" applyFill="1" applyBorder="1" applyAlignment="1">
      <alignment horizontal="center" vertical="center" wrapText="1" readingOrder="1"/>
    </xf>
    <xf numFmtId="0" fontId="17" fillId="6" borderId="1" xfId="0" applyFont="1" applyFill="1" applyBorder="1" applyAlignment="1">
      <alignment horizontal="center" vertical="center" wrapText="1" readingOrder="1"/>
    </xf>
    <xf numFmtId="0" fontId="17" fillId="6" borderId="2" xfId="0" applyFont="1" applyFill="1" applyBorder="1" applyAlignment="1">
      <alignment horizontal="center" vertical="center" wrapText="1" readingOrder="1"/>
    </xf>
    <xf numFmtId="0" fontId="17" fillId="6" borderId="4" xfId="0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wrapText="1"/>
    </xf>
    <xf numFmtId="0" fontId="27" fillId="4" borderId="1" xfId="0" applyNumberFormat="1" applyFont="1" applyFill="1" applyBorder="1" applyAlignment="1" applyProtection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 readingOrder="1"/>
    </xf>
    <xf numFmtId="0" fontId="17" fillId="10" borderId="2" xfId="0" applyFont="1" applyFill="1" applyBorder="1" applyAlignment="1">
      <alignment horizontal="center" vertical="center" wrapText="1" readingOrder="1"/>
    </xf>
    <xf numFmtId="0" fontId="17" fillId="10" borderId="4" xfId="0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 applyProtection="1">
      <alignment horizontal="left" vertical="center" wrapText="1" indent="1"/>
    </xf>
    <xf numFmtId="0" fontId="9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 indent="1"/>
    </xf>
    <xf numFmtId="49" fontId="54" fillId="0" borderId="1" xfId="0" applyNumberFormat="1" applyFont="1" applyFill="1" applyBorder="1" applyAlignment="1" applyProtection="1">
      <alignment horizontal="left" vertical="center" wrapText="1" indent="1"/>
    </xf>
    <xf numFmtId="49" fontId="54" fillId="0" borderId="2" xfId="0" applyNumberFormat="1" applyFont="1" applyFill="1" applyBorder="1" applyAlignment="1" applyProtection="1">
      <alignment horizontal="left" vertical="center" wrapText="1" indent="1"/>
    </xf>
    <xf numFmtId="49" fontId="54" fillId="0" borderId="4" xfId="0" applyNumberFormat="1" applyFont="1" applyFill="1" applyBorder="1" applyAlignment="1" applyProtection="1">
      <alignment horizontal="left" vertical="center" wrapText="1" indent="1"/>
    </xf>
    <xf numFmtId="0" fontId="54" fillId="0" borderId="4" xfId="0" applyNumberFormat="1" applyFont="1" applyFill="1" applyBorder="1" applyAlignment="1" applyProtection="1">
      <alignment horizontal="left" vertical="center" wrapText="1"/>
    </xf>
    <xf numFmtId="4" fontId="54" fillId="0" borderId="3" xfId="0" applyNumberFormat="1" applyFont="1" applyFill="1" applyBorder="1" applyAlignment="1">
      <alignment horizontal="right"/>
    </xf>
    <xf numFmtId="4" fontId="26" fillId="5" borderId="0" xfId="0" applyNumberFormat="1" applyFont="1" applyFill="1" applyBorder="1" applyAlignment="1" applyProtection="1">
      <alignment horizontal="center" vertical="center" wrapText="1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BreakPreview" zoomScaleNormal="100" zoomScaleSheetLayoutView="100" workbookViewId="0">
      <selection activeCell="J15" sqref="J1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22" t="s">
        <v>438</v>
      </c>
      <c r="B1" s="222"/>
      <c r="C1" s="222"/>
      <c r="D1" s="222"/>
      <c r="E1" s="222"/>
      <c r="F1" s="222"/>
      <c r="G1" s="222"/>
      <c r="H1" s="222"/>
      <c r="I1" s="222"/>
      <c r="J1" s="15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27"/>
    </row>
    <row r="3" spans="1:10" ht="15.75" x14ac:dyDescent="0.25">
      <c r="A3" s="222" t="s">
        <v>33</v>
      </c>
      <c r="B3" s="222"/>
      <c r="C3" s="222"/>
      <c r="D3" s="222"/>
      <c r="E3" s="222"/>
      <c r="F3" s="222"/>
      <c r="G3" s="222"/>
      <c r="H3" s="224"/>
      <c r="I3" s="224"/>
      <c r="J3" s="152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  <c r="J4" s="6"/>
    </row>
    <row r="5" spans="1:10" ht="18" customHeight="1" x14ac:dyDescent="0.25">
      <c r="A5" s="222" t="s">
        <v>41</v>
      </c>
      <c r="B5" s="223"/>
      <c r="C5" s="223"/>
      <c r="D5" s="223"/>
      <c r="E5" s="223"/>
      <c r="F5" s="223"/>
      <c r="G5" s="223"/>
      <c r="H5" s="223"/>
      <c r="I5" s="223"/>
      <c r="J5" s="151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36" t="s">
        <v>218</v>
      </c>
      <c r="J6" s="36" t="s">
        <v>218</v>
      </c>
    </row>
    <row r="7" spans="1:10" x14ac:dyDescent="0.25">
      <c r="A7" s="30"/>
      <c r="B7" s="31"/>
      <c r="C7" s="31"/>
      <c r="D7" s="32"/>
      <c r="E7" s="33"/>
      <c r="F7" s="4" t="s">
        <v>442</v>
      </c>
      <c r="G7" s="4" t="s">
        <v>439</v>
      </c>
      <c r="H7" s="4" t="s">
        <v>440</v>
      </c>
      <c r="I7" s="164" t="s">
        <v>281</v>
      </c>
      <c r="J7" s="164" t="s">
        <v>282</v>
      </c>
    </row>
    <row r="8" spans="1:10" x14ac:dyDescent="0.25">
      <c r="A8" s="225" t="s">
        <v>0</v>
      </c>
      <c r="B8" s="226"/>
      <c r="C8" s="226"/>
      <c r="D8" s="226"/>
      <c r="E8" s="227"/>
      <c r="F8" s="58">
        <f>SUM(F9:F10)+0.02</f>
        <v>695659.54</v>
      </c>
      <c r="G8" s="58">
        <f>SUM(G9:G10)</f>
        <v>1967737.44</v>
      </c>
      <c r="H8" s="58">
        <f t="shared" ref="H8" si="0">SUM(H9:H10)</f>
        <v>924255.2</v>
      </c>
      <c r="I8" s="58">
        <f>H8/F8*100</f>
        <v>132.86000000000001</v>
      </c>
      <c r="J8" s="58">
        <f>H8/G8*100</f>
        <v>46.97</v>
      </c>
    </row>
    <row r="9" spans="1:10" x14ac:dyDescent="0.25">
      <c r="A9" s="228" t="s">
        <v>1</v>
      </c>
      <c r="B9" s="221"/>
      <c r="C9" s="221"/>
      <c r="D9" s="221"/>
      <c r="E9" s="229"/>
      <c r="F9" s="59">
        <f>'Prihodi- ekonom.klasif'!C6</f>
        <v>695659.52000000002</v>
      </c>
      <c r="G9" s="59">
        <f>'Prihodi- ekonom.klasif'!D6</f>
        <v>1967737.44</v>
      </c>
      <c r="H9" s="59">
        <f>'Prihodi- ekonom.klasif'!E6</f>
        <v>924255.2</v>
      </c>
      <c r="I9" s="59">
        <f t="shared" ref="I9:I14" si="1">H9/F9*100</f>
        <v>132.86000000000001</v>
      </c>
      <c r="J9" s="59">
        <f t="shared" ref="J9:J13" si="2">H9/G9*100</f>
        <v>46.97</v>
      </c>
    </row>
    <row r="10" spans="1:10" x14ac:dyDescent="0.25">
      <c r="A10" s="230" t="s">
        <v>2</v>
      </c>
      <c r="B10" s="229"/>
      <c r="C10" s="229"/>
      <c r="D10" s="229"/>
      <c r="E10" s="229"/>
      <c r="F10" s="59">
        <f>' Račun prihoda i rashoda'!F26</f>
        <v>0</v>
      </c>
      <c r="G10" s="59">
        <f>' Račun prihoda i rashoda'!G26</f>
        <v>0</v>
      </c>
      <c r="H10" s="59">
        <f>' Račun prihoda i rashoda'!H26</f>
        <v>0</v>
      </c>
      <c r="I10" s="59"/>
      <c r="J10" s="59"/>
    </row>
    <row r="11" spans="1:10" x14ac:dyDescent="0.25">
      <c r="A11" s="37" t="s">
        <v>3</v>
      </c>
      <c r="B11" s="38"/>
      <c r="C11" s="38"/>
      <c r="D11" s="38"/>
      <c r="E11" s="38"/>
      <c r="F11" s="58">
        <f>SUM(F12:F13)+0.02</f>
        <v>698561.55</v>
      </c>
      <c r="G11" s="58">
        <f>G12</f>
        <v>1967737.44</v>
      </c>
      <c r="H11" s="58">
        <f t="shared" ref="H11" si="3">SUM(H12:H13)</f>
        <v>922458.32</v>
      </c>
      <c r="I11" s="58">
        <f t="shared" si="1"/>
        <v>132.05000000000001</v>
      </c>
      <c r="J11" s="58">
        <f t="shared" si="2"/>
        <v>46.88</v>
      </c>
    </row>
    <row r="12" spans="1:10" x14ac:dyDescent="0.25">
      <c r="A12" s="220" t="s">
        <v>4</v>
      </c>
      <c r="B12" s="221"/>
      <c r="C12" s="221"/>
      <c r="D12" s="221"/>
      <c r="E12" s="221"/>
      <c r="F12" s="59">
        <f>'Rashodi-ekonom.klasifik'!C6</f>
        <v>698511.31</v>
      </c>
      <c r="G12" s="59">
        <f>'prih.rash.-izvori financiranja'!D46</f>
        <v>1967737.44</v>
      </c>
      <c r="H12" s="59">
        <f>'Rashodi-ekonom.klasifik'!E6</f>
        <v>894716.04</v>
      </c>
      <c r="I12" s="59">
        <f t="shared" si="1"/>
        <v>128.09</v>
      </c>
      <c r="J12" s="59">
        <f t="shared" si="2"/>
        <v>45.47</v>
      </c>
    </row>
    <row r="13" spans="1:10" x14ac:dyDescent="0.25">
      <c r="A13" s="234" t="s">
        <v>5</v>
      </c>
      <c r="B13" s="229"/>
      <c r="C13" s="229"/>
      <c r="D13" s="229"/>
      <c r="E13" s="229"/>
      <c r="F13" s="60">
        <f>'Rashodi-ekonom.klasifik'!C57</f>
        <v>50.22</v>
      </c>
      <c r="G13" s="60">
        <f>'Rashodi-ekonom.klasifik'!D57</f>
        <v>6781.46</v>
      </c>
      <c r="H13" s="60">
        <f>'Rashodi-ekonom.klasifik'!E57</f>
        <v>27742.28</v>
      </c>
      <c r="I13" s="60">
        <f t="shared" si="1"/>
        <v>55241.5</v>
      </c>
      <c r="J13" s="60">
        <f t="shared" si="2"/>
        <v>409.09</v>
      </c>
    </row>
    <row r="14" spans="1:10" x14ac:dyDescent="0.25">
      <c r="A14" s="233" t="s">
        <v>6</v>
      </c>
      <c r="B14" s="226"/>
      <c r="C14" s="226"/>
      <c r="D14" s="226"/>
      <c r="E14" s="226"/>
      <c r="F14" s="61">
        <f>F8-F11</f>
        <v>-2902.01</v>
      </c>
      <c r="G14" s="61">
        <f>G8-G11</f>
        <v>0</v>
      </c>
      <c r="H14" s="61">
        <f t="shared" ref="H14" si="4">H8-H11</f>
        <v>1796.88</v>
      </c>
      <c r="I14" s="61">
        <f t="shared" si="1"/>
        <v>-61.92</v>
      </c>
      <c r="J14" s="61"/>
    </row>
    <row r="15" spans="1:10" ht="18" x14ac:dyDescent="0.25">
      <c r="A15" s="5"/>
      <c r="B15" s="9"/>
      <c r="C15" s="9"/>
      <c r="D15" s="9"/>
      <c r="E15" s="9"/>
      <c r="F15" s="9"/>
      <c r="G15" s="3"/>
      <c r="H15" s="3"/>
      <c r="I15" s="3"/>
      <c r="J15" s="26"/>
    </row>
    <row r="16" spans="1:10" ht="18" customHeight="1" x14ac:dyDescent="0.25">
      <c r="A16" s="222" t="s">
        <v>42</v>
      </c>
      <c r="B16" s="223"/>
      <c r="C16" s="223"/>
      <c r="D16" s="223"/>
      <c r="E16" s="223"/>
      <c r="F16" s="223"/>
      <c r="G16" s="223"/>
      <c r="H16" s="223"/>
      <c r="I16" s="223"/>
      <c r="J16" s="151"/>
    </row>
    <row r="17" spans="1:10" ht="18" x14ac:dyDescent="0.25">
      <c r="A17" s="27"/>
      <c r="B17" s="25"/>
      <c r="C17" s="25"/>
      <c r="D17" s="25"/>
      <c r="E17" s="25"/>
      <c r="F17" s="25"/>
      <c r="G17" s="26"/>
      <c r="H17" s="26"/>
      <c r="I17" s="26"/>
      <c r="J17" s="26"/>
    </row>
    <row r="18" spans="1:10" x14ac:dyDescent="0.25">
      <c r="A18" s="30"/>
      <c r="B18" s="31"/>
      <c r="C18" s="31"/>
      <c r="D18" s="32"/>
      <c r="E18" s="33"/>
      <c r="F18" s="4" t="s">
        <v>442</v>
      </c>
      <c r="G18" s="4" t="s">
        <v>439</v>
      </c>
      <c r="H18" s="4" t="s">
        <v>440</v>
      </c>
      <c r="I18" s="164" t="s">
        <v>281</v>
      </c>
      <c r="J18" s="164" t="s">
        <v>281</v>
      </c>
    </row>
    <row r="19" spans="1:10" ht="15.75" customHeight="1" x14ac:dyDescent="0.25">
      <c r="A19" s="228" t="s">
        <v>8</v>
      </c>
      <c r="B19" s="231"/>
      <c r="C19" s="231"/>
      <c r="D19" s="231"/>
      <c r="E19" s="232"/>
      <c r="F19" s="35">
        <f>'Račun financiranja'!F9</f>
        <v>0</v>
      </c>
      <c r="G19" s="35">
        <f>'Račun financiranja'!G9</f>
        <v>0</v>
      </c>
      <c r="H19" s="35">
        <f>'Račun financiranja'!H9</f>
        <v>0</v>
      </c>
      <c r="I19" s="35">
        <f>'Račun financiranja'!I9</f>
        <v>0</v>
      </c>
      <c r="J19" s="35">
        <f>'Račun financiranja'!J9</f>
        <v>0</v>
      </c>
    </row>
    <row r="20" spans="1:10" x14ac:dyDescent="0.25">
      <c r="A20" s="228" t="s">
        <v>9</v>
      </c>
      <c r="B20" s="221"/>
      <c r="C20" s="221"/>
      <c r="D20" s="221"/>
      <c r="E20" s="221"/>
      <c r="F20" s="35">
        <f>'Račun financiranja'!F12</f>
        <v>0</v>
      </c>
      <c r="G20" s="35">
        <f>'Račun financiranja'!G12</f>
        <v>0</v>
      </c>
      <c r="H20" s="35">
        <f>'Račun financiranja'!H12</f>
        <v>0</v>
      </c>
      <c r="I20" s="35">
        <f>'Račun financiranja'!I12</f>
        <v>0</v>
      </c>
      <c r="J20" s="35">
        <f>'Račun financiranja'!J12</f>
        <v>0</v>
      </c>
    </row>
    <row r="21" spans="1:10" x14ac:dyDescent="0.25">
      <c r="A21" s="233" t="s">
        <v>10</v>
      </c>
      <c r="B21" s="226"/>
      <c r="C21" s="226"/>
      <c r="D21" s="226"/>
      <c r="E21" s="226"/>
      <c r="F21" s="34">
        <v>0</v>
      </c>
      <c r="G21" s="34">
        <v>0</v>
      </c>
      <c r="H21" s="34">
        <v>0</v>
      </c>
      <c r="I21" s="34">
        <v>0</v>
      </c>
      <c r="J21" s="34">
        <v>0</v>
      </c>
    </row>
    <row r="22" spans="1:10" ht="18" x14ac:dyDescent="0.25">
      <c r="A22" s="24"/>
      <c r="B22" s="25"/>
      <c r="C22" s="25"/>
      <c r="D22" s="25"/>
      <c r="E22" s="25"/>
      <c r="F22" s="25"/>
      <c r="G22" s="26"/>
      <c r="H22" s="26"/>
      <c r="I22" s="26"/>
      <c r="J22" s="26"/>
    </row>
    <row r="23" spans="1:10" ht="18" customHeight="1" x14ac:dyDescent="0.25">
      <c r="A23" s="222" t="s">
        <v>48</v>
      </c>
      <c r="B23" s="223"/>
      <c r="C23" s="223"/>
      <c r="D23" s="223"/>
      <c r="E23" s="223"/>
      <c r="F23" s="223"/>
      <c r="G23" s="223"/>
      <c r="H23" s="223"/>
      <c r="I23" s="223"/>
      <c r="J23" s="151"/>
    </row>
    <row r="24" spans="1:10" ht="18" x14ac:dyDescent="0.25">
      <c r="A24" s="24"/>
      <c r="B24" s="25"/>
      <c r="C24" s="25"/>
      <c r="D24" s="25"/>
      <c r="E24" s="25"/>
      <c r="F24" s="25"/>
      <c r="G24" s="26"/>
      <c r="H24" s="26"/>
      <c r="I24" s="26"/>
      <c r="J24" s="26"/>
    </row>
    <row r="25" spans="1:10" x14ac:dyDescent="0.25">
      <c r="A25" s="30"/>
      <c r="B25" s="31"/>
      <c r="C25" s="31"/>
      <c r="D25" s="32"/>
      <c r="E25" s="33"/>
      <c r="F25" s="4" t="s">
        <v>442</v>
      </c>
      <c r="G25" s="4" t="s">
        <v>439</v>
      </c>
      <c r="H25" s="4" t="s">
        <v>440</v>
      </c>
      <c r="I25" s="164" t="s">
        <v>281</v>
      </c>
      <c r="J25" s="164" t="s">
        <v>281</v>
      </c>
    </row>
    <row r="26" spans="1:10" x14ac:dyDescent="0.25">
      <c r="A26" s="237" t="s">
        <v>43</v>
      </c>
      <c r="B26" s="238"/>
      <c r="C26" s="238"/>
      <c r="D26" s="238"/>
      <c r="E26" s="239"/>
      <c r="F26" s="62"/>
      <c r="G26" s="62">
        <v>16317.27</v>
      </c>
      <c r="H26" s="62">
        <v>16317.27</v>
      </c>
      <c r="I26" s="63">
        <v>0</v>
      </c>
      <c r="J26" s="63">
        <v>0</v>
      </c>
    </row>
    <row r="27" spans="1:10" ht="30" customHeight="1" x14ac:dyDescent="0.25">
      <c r="A27" s="240" t="s">
        <v>7</v>
      </c>
      <c r="B27" s="241"/>
      <c r="C27" s="241"/>
      <c r="D27" s="241"/>
      <c r="E27" s="242"/>
      <c r="F27" s="64"/>
      <c r="G27" s="64">
        <v>0</v>
      </c>
      <c r="H27" s="64">
        <v>0</v>
      </c>
      <c r="I27" s="61">
        <v>0</v>
      </c>
      <c r="J27" s="61">
        <v>0</v>
      </c>
    </row>
    <row r="30" spans="1:10" x14ac:dyDescent="0.25">
      <c r="A30" s="220" t="s">
        <v>11</v>
      </c>
      <c r="B30" s="221"/>
      <c r="C30" s="221"/>
      <c r="D30" s="221"/>
      <c r="E30" s="221"/>
      <c r="F30" s="35">
        <v>0</v>
      </c>
      <c r="G30" s="35">
        <v>0</v>
      </c>
      <c r="H30" s="60">
        <v>18114.150000000001</v>
      </c>
      <c r="I30" s="35">
        <v>0</v>
      </c>
      <c r="J30" s="35">
        <v>0</v>
      </c>
    </row>
    <row r="31" spans="1:10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</row>
    <row r="32" spans="1:10" ht="29.25" customHeight="1" x14ac:dyDescent="0.25">
      <c r="A32" s="235"/>
      <c r="B32" s="236"/>
      <c r="C32" s="236"/>
      <c r="D32" s="236"/>
      <c r="E32" s="236"/>
      <c r="F32" s="236"/>
      <c r="G32" s="236"/>
      <c r="H32" s="236"/>
      <c r="I32" s="236"/>
      <c r="J32" s="149"/>
    </row>
    <row r="33" spans="1:10" ht="8.25" customHeight="1" x14ac:dyDescent="0.25"/>
    <row r="34" spans="1:10" x14ac:dyDescent="0.25">
      <c r="A34" s="235"/>
      <c r="B34" s="236"/>
      <c r="C34" s="236"/>
      <c r="D34" s="236"/>
      <c r="E34" s="236"/>
      <c r="F34" s="236"/>
      <c r="G34" s="236"/>
      <c r="H34" s="236"/>
      <c r="I34" s="236"/>
      <c r="J34" s="149"/>
    </row>
    <row r="35" spans="1:10" ht="8.25" customHeight="1" x14ac:dyDescent="0.25"/>
    <row r="36" spans="1:10" ht="29.25" customHeight="1" x14ac:dyDescent="0.25">
      <c r="A36" s="235"/>
      <c r="B36" s="236"/>
      <c r="C36" s="236"/>
      <c r="D36" s="236"/>
      <c r="E36" s="236"/>
      <c r="F36" s="236"/>
      <c r="G36" s="236"/>
      <c r="H36" s="236"/>
      <c r="I36" s="236"/>
      <c r="J36" s="149"/>
    </row>
    <row r="38" spans="1:10" x14ac:dyDescent="0.25">
      <c r="A38" t="s">
        <v>240</v>
      </c>
      <c r="E38" t="s">
        <v>241</v>
      </c>
      <c r="G38" t="s">
        <v>242</v>
      </c>
    </row>
    <row r="39" spans="1:10" x14ac:dyDescent="0.25">
      <c r="A39" t="s">
        <v>243</v>
      </c>
      <c r="E39" t="s">
        <v>244</v>
      </c>
      <c r="G39" t="s">
        <v>245</v>
      </c>
    </row>
  </sheetData>
  <mergeCells count="20">
    <mergeCell ref="A36:I36"/>
    <mergeCell ref="A23:I23"/>
    <mergeCell ref="A32:I32"/>
    <mergeCell ref="A30:E30"/>
    <mergeCell ref="A34:I34"/>
    <mergeCell ref="A26:E26"/>
    <mergeCell ref="A27:E27"/>
    <mergeCell ref="A19:E19"/>
    <mergeCell ref="A20:E20"/>
    <mergeCell ref="A21:E21"/>
    <mergeCell ref="A13:E13"/>
    <mergeCell ref="A14:E14"/>
    <mergeCell ref="A12:E12"/>
    <mergeCell ref="A5:I5"/>
    <mergeCell ref="A16:I16"/>
    <mergeCell ref="A1:I1"/>
    <mergeCell ref="A3:I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7" workbookViewId="0">
      <selection activeCell="A40" sqref="A40"/>
    </sheetView>
  </sheetViews>
  <sheetFormatPr defaultRowHeight="15" x14ac:dyDescent="0.25"/>
  <cols>
    <col min="1" max="1" width="9.140625" style="167"/>
    <col min="2" max="2" width="57.140625" style="186" customWidth="1"/>
    <col min="3" max="3" width="16.85546875" style="187" customWidth="1"/>
    <col min="4" max="4" width="14.42578125" style="186" customWidth="1"/>
    <col min="5" max="5" width="16.85546875" style="187" customWidth="1"/>
    <col min="6" max="6" width="11.42578125" style="186" customWidth="1"/>
    <col min="7" max="7" width="11.85546875" style="186" customWidth="1"/>
  </cols>
  <sheetData>
    <row r="1" spans="1:9" x14ac:dyDescent="0.25">
      <c r="A1" s="243" t="s">
        <v>278</v>
      </c>
      <c r="B1" s="243"/>
      <c r="C1" s="243"/>
      <c r="D1" s="243"/>
      <c r="E1" s="243"/>
      <c r="F1" s="243"/>
      <c r="G1" s="243"/>
    </row>
    <row r="2" spans="1:9" x14ac:dyDescent="0.25">
      <c r="A2" s="243" t="s">
        <v>437</v>
      </c>
      <c r="B2" s="243"/>
      <c r="C2" s="243"/>
      <c r="D2" s="243"/>
      <c r="E2" s="243"/>
      <c r="F2" s="243"/>
      <c r="G2" s="243"/>
      <c r="I2">
        <v>7.5345000000000004</v>
      </c>
    </row>
    <row r="3" spans="1:9" ht="26.25" x14ac:dyDescent="0.25">
      <c r="A3" s="161" t="s">
        <v>279</v>
      </c>
      <c r="B3" s="162" t="s">
        <v>20</v>
      </c>
      <c r="C3" s="164" t="s">
        <v>280</v>
      </c>
      <c r="D3" s="164" t="s">
        <v>422</v>
      </c>
      <c r="E3" s="164" t="s">
        <v>424</v>
      </c>
      <c r="F3" s="164" t="s">
        <v>281</v>
      </c>
      <c r="G3" s="164" t="s">
        <v>282</v>
      </c>
    </row>
    <row r="4" spans="1:9" x14ac:dyDescent="0.25">
      <c r="A4" s="165">
        <v>1</v>
      </c>
      <c r="B4" s="166">
        <v>2</v>
      </c>
      <c r="C4" s="166">
        <v>5</v>
      </c>
      <c r="D4" s="166">
        <v>4</v>
      </c>
      <c r="E4" s="166">
        <v>5</v>
      </c>
      <c r="F4" s="166">
        <v>6</v>
      </c>
      <c r="G4" s="166">
        <v>7</v>
      </c>
      <c r="H4" s="167"/>
    </row>
    <row r="5" spans="1:9" x14ac:dyDescent="0.25">
      <c r="A5" s="168"/>
      <c r="B5" s="169" t="s">
        <v>283</v>
      </c>
      <c r="C5" s="170">
        <f t="shared" ref="C5" si="0">C6+C31</f>
        <v>695659.52000000002</v>
      </c>
      <c r="D5" s="170">
        <f>D6+D31</f>
        <v>1967737.44</v>
      </c>
      <c r="E5" s="170">
        <f>E6+E31</f>
        <v>924255.2</v>
      </c>
      <c r="F5" s="171">
        <f>E5/C5*100</f>
        <v>132.86000000000001</v>
      </c>
      <c r="G5" s="171">
        <f>E5/D5*100</f>
        <v>46.97</v>
      </c>
      <c r="H5" s="167"/>
      <c r="I5">
        <f>C5*I2</f>
        <v>5241446.6534399996</v>
      </c>
    </row>
    <row r="6" spans="1:9" s="176" customFormat="1" x14ac:dyDescent="0.25">
      <c r="A6" s="172" t="s">
        <v>284</v>
      </c>
      <c r="B6" s="173" t="s">
        <v>1</v>
      </c>
      <c r="C6" s="174">
        <f t="shared" ref="C6" si="1">C8+C13+C18+C21+C24+C28</f>
        <v>695659.52000000002</v>
      </c>
      <c r="D6" s="174">
        <f>D8+D13+D18+D21+D24+D28</f>
        <v>1967737.44</v>
      </c>
      <c r="E6" s="174">
        <f>E7+E12+E17+E20+E27</f>
        <v>924255.2</v>
      </c>
      <c r="F6" s="175"/>
      <c r="G6" s="175">
        <f t="shared" ref="G6:G8" si="2">E6/D6*100</f>
        <v>46.97</v>
      </c>
    </row>
    <row r="7" spans="1:9" s="176" customFormat="1" x14ac:dyDescent="0.25">
      <c r="A7" s="177" t="s">
        <v>285</v>
      </c>
      <c r="B7" s="178" t="s">
        <v>286</v>
      </c>
      <c r="C7" s="179">
        <f t="shared" ref="C7:E7" si="3">C8</f>
        <v>628303.4</v>
      </c>
      <c r="D7" s="179">
        <v>1188824.1499999999</v>
      </c>
      <c r="E7" s="179">
        <f t="shared" si="3"/>
        <v>796161.71</v>
      </c>
      <c r="F7" s="180">
        <f t="shared" ref="F7:F29" si="4">E7/C7*100</f>
        <v>126.72</v>
      </c>
      <c r="G7" s="180">
        <f t="shared" si="2"/>
        <v>66.97</v>
      </c>
    </row>
    <row r="8" spans="1:9" s="176" customFormat="1" x14ac:dyDescent="0.25">
      <c r="A8" s="181" t="s">
        <v>287</v>
      </c>
      <c r="B8" s="182" t="s">
        <v>288</v>
      </c>
      <c r="C8" s="183">
        <f t="shared" ref="C8" si="5">SUM(C9:C10)</f>
        <v>628303.4</v>
      </c>
      <c r="D8" s="183">
        <f>SUM(D9:D11)</f>
        <v>1753393.35</v>
      </c>
      <c r="E8" s="183">
        <f>SUM(E9:E11)</f>
        <v>796161.71</v>
      </c>
      <c r="F8" s="183">
        <f t="shared" si="4"/>
        <v>126.72</v>
      </c>
      <c r="G8" s="184">
        <f t="shared" si="2"/>
        <v>45.41</v>
      </c>
      <c r="I8" s="198">
        <f>924255.2-E5</f>
        <v>0</v>
      </c>
    </row>
    <row r="9" spans="1:9" x14ac:dyDescent="0.25">
      <c r="A9" s="185" t="s">
        <v>289</v>
      </c>
      <c r="B9" s="186" t="s">
        <v>290</v>
      </c>
      <c r="C9" s="187">
        <v>628303.4</v>
      </c>
      <c r="D9" s="187">
        <f>'POSEBNI DIO'!G335+'POSEBNI DIO'!G383+'POSEBNI DIO'!G421+'POSEBNI DIO'!G448+'POSEBNI DIO'!G464</f>
        <v>1749443.35</v>
      </c>
      <c r="E9" s="187">
        <v>795906.07</v>
      </c>
      <c r="F9" s="188">
        <f t="shared" si="4"/>
        <v>126.68</v>
      </c>
      <c r="G9" s="189" t="s">
        <v>291</v>
      </c>
    </row>
    <row r="10" spans="1:9" x14ac:dyDescent="0.25">
      <c r="A10" s="185" t="s">
        <v>292</v>
      </c>
      <c r="B10" s="186" t="s">
        <v>293</v>
      </c>
      <c r="C10" s="187">
        <v>0</v>
      </c>
      <c r="D10" s="187">
        <f>'POSEBNI DIO'!G363+'POSEBNI DIO'!G431+'POSEBNI DIO'!G453</f>
        <v>3950</v>
      </c>
      <c r="E10" s="187">
        <v>0</v>
      </c>
      <c r="F10" s="219" t="s">
        <v>291</v>
      </c>
      <c r="G10" s="189" t="s">
        <v>291</v>
      </c>
    </row>
    <row r="11" spans="1:9" x14ac:dyDescent="0.25">
      <c r="A11" s="185">
        <v>6391</v>
      </c>
      <c r="B11" s="186" t="s">
        <v>429</v>
      </c>
      <c r="C11" s="187">
        <v>0</v>
      </c>
      <c r="D11" s="186">
        <v>0</v>
      </c>
      <c r="E11" s="187">
        <v>255.64</v>
      </c>
      <c r="F11" s="219" t="s">
        <v>291</v>
      </c>
      <c r="G11" s="189" t="s">
        <v>291</v>
      </c>
    </row>
    <row r="12" spans="1:9" s="176" customFormat="1" x14ac:dyDescent="0.25">
      <c r="A12" s="190" t="s">
        <v>294</v>
      </c>
      <c r="B12" s="178" t="s">
        <v>295</v>
      </c>
      <c r="C12" s="179">
        <f t="shared" ref="C12:E15" si="6">C13</f>
        <v>3.2</v>
      </c>
      <c r="D12" s="179">
        <f t="shared" si="6"/>
        <v>0.3</v>
      </c>
      <c r="E12" s="179">
        <f>+E15+E13</f>
        <v>2501.71</v>
      </c>
      <c r="F12" s="180">
        <f t="shared" si="4"/>
        <v>78178.44</v>
      </c>
      <c r="G12" s="191"/>
    </row>
    <row r="13" spans="1:9" s="176" customFormat="1" x14ac:dyDescent="0.25">
      <c r="A13" s="192" t="s">
        <v>296</v>
      </c>
      <c r="B13" s="182" t="s">
        <v>297</v>
      </c>
      <c r="C13" s="183">
        <f t="shared" si="6"/>
        <v>3.2</v>
      </c>
      <c r="D13" s="183">
        <f t="shared" si="6"/>
        <v>0.3</v>
      </c>
      <c r="E13" s="183">
        <f t="shared" si="6"/>
        <v>7.71</v>
      </c>
      <c r="F13" s="184">
        <f t="shared" si="4"/>
        <v>240.94</v>
      </c>
      <c r="G13" s="193"/>
    </row>
    <row r="14" spans="1:9" x14ac:dyDescent="0.25">
      <c r="A14" s="185" t="s">
        <v>298</v>
      </c>
      <c r="B14" s="186" t="s">
        <v>299</v>
      </c>
      <c r="C14" s="187">
        <v>3.2</v>
      </c>
      <c r="D14" s="187">
        <v>0.3</v>
      </c>
      <c r="E14" s="187">
        <v>7.71</v>
      </c>
      <c r="F14" s="188">
        <f t="shared" si="4"/>
        <v>240.94</v>
      </c>
      <c r="G14" s="189" t="s">
        <v>291</v>
      </c>
    </row>
    <row r="15" spans="1:9" s="176" customFormat="1" x14ac:dyDescent="0.25">
      <c r="A15" s="192">
        <v>642</v>
      </c>
      <c r="B15" s="182" t="s">
        <v>433</v>
      </c>
      <c r="C15" s="183">
        <f t="shared" si="6"/>
        <v>0</v>
      </c>
      <c r="D15" s="183">
        <f t="shared" si="6"/>
        <v>0</v>
      </c>
      <c r="E15" s="183">
        <f t="shared" si="6"/>
        <v>2494</v>
      </c>
      <c r="F15" s="184" t="s">
        <v>291</v>
      </c>
      <c r="G15" s="193"/>
    </row>
    <row r="16" spans="1:9" x14ac:dyDescent="0.25">
      <c r="A16" s="185">
        <v>6423</v>
      </c>
      <c r="B16" s="186" t="s">
        <v>434</v>
      </c>
      <c r="C16" s="187">
        <v>0</v>
      </c>
      <c r="D16" s="187">
        <v>0</v>
      </c>
      <c r="E16" s="187">
        <v>2494</v>
      </c>
      <c r="F16" s="188" t="s">
        <v>291</v>
      </c>
      <c r="G16" s="189" t="s">
        <v>291</v>
      </c>
    </row>
    <row r="17" spans="1:7" s="176" customFormat="1" x14ac:dyDescent="0.25">
      <c r="A17" s="190" t="s">
        <v>300</v>
      </c>
      <c r="B17" s="178" t="s">
        <v>301</v>
      </c>
      <c r="C17" s="179">
        <f t="shared" ref="C17:E18" si="7">C18</f>
        <v>14420.31</v>
      </c>
      <c r="D17" s="179">
        <f t="shared" si="7"/>
        <v>21460</v>
      </c>
      <c r="E17" s="179">
        <f t="shared" si="7"/>
        <v>12349.87</v>
      </c>
      <c r="F17" s="180">
        <f t="shared" si="4"/>
        <v>85.64</v>
      </c>
      <c r="G17" s="191">
        <f t="shared" ref="G17:G18" si="8">E17/D17*100</f>
        <v>57.55</v>
      </c>
    </row>
    <row r="18" spans="1:7" s="176" customFormat="1" x14ac:dyDescent="0.25">
      <c r="A18" s="192" t="s">
        <v>302</v>
      </c>
      <c r="B18" s="182" t="s">
        <v>303</v>
      </c>
      <c r="C18" s="183">
        <f t="shared" si="7"/>
        <v>14420.31</v>
      </c>
      <c r="D18" s="183">
        <f>D19</f>
        <v>21460</v>
      </c>
      <c r="E18" s="183">
        <f t="shared" si="7"/>
        <v>12349.87</v>
      </c>
      <c r="F18" s="184">
        <f t="shared" si="4"/>
        <v>85.64</v>
      </c>
      <c r="G18" s="193">
        <f t="shared" si="8"/>
        <v>57.55</v>
      </c>
    </row>
    <row r="19" spans="1:7" x14ac:dyDescent="0.25">
      <c r="A19" s="185" t="s">
        <v>304</v>
      </c>
      <c r="B19" s="186" t="s">
        <v>305</v>
      </c>
      <c r="C19" s="187">
        <v>14420.31</v>
      </c>
      <c r="D19" s="187">
        <v>21460</v>
      </c>
      <c r="E19" s="187">
        <v>12349.87</v>
      </c>
      <c r="F19" s="188">
        <f t="shared" si="4"/>
        <v>85.64</v>
      </c>
      <c r="G19" s="189" t="s">
        <v>291</v>
      </c>
    </row>
    <row r="20" spans="1:7" s="176" customFormat="1" x14ac:dyDescent="0.25">
      <c r="A20" s="190" t="s">
        <v>306</v>
      </c>
      <c r="B20" s="178" t="s">
        <v>307</v>
      </c>
      <c r="C20" s="179">
        <f t="shared" ref="C20:E20" si="9">C21+C24</f>
        <v>885.46</v>
      </c>
      <c r="D20" s="179">
        <f>D21+D24</f>
        <v>13361.76</v>
      </c>
      <c r="E20" s="179">
        <f t="shared" si="9"/>
        <v>5534.56</v>
      </c>
      <c r="F20" s="180">
        <f t="shared" si="4"/>
        <v>625.04999999999995</v>
      </c>
      <c r="G20" s="191">
        <f t="shared" ref="G20:G21" si="10">E20/D20*100</f>
        <v>41.42</v>
      </c>
    </row>
    <row r="21" spans="1:7" s="176" customFormat="1" x14ac:dyDescent="0.25">
      <c r="A21" s="192" t="s">
        <v>308</v>
      </c>
      <c r="B21" s="182" t="s">
        <v>309</v>
      </c>
      <c r="C21" s="183">
        <f t="shared" ref="C21:E21" si="11">SUM(C22:C23)</f>
        <v>507.9</v>
      </c>
      <c r="D21" s="183">
        <f>SUM(D22:D23)</f>
        <v>7561.76</v>
      </c>
      <c r="E21" s="183">
        <f t="shared" si="11"/>
        <v>0</v>
      </c>
      <c r="F21" s="184">
        <f t="shared" si="4"/>
        <v>0</v>
      </c>
      <c r="G21" s="193">
        <f t="shared" si="10"/>
        <v>0</v>
      </c>
    </row>
    <row r="22" spans="1:7" x14ac:dyDescent="0.25">
      <c r="A22" s="185">
        <v>6614</v>
      </c>
      <c r="B22" s="186" t="s">
        <v>310</v>
      </c>
      <c r="C22" s="187">
        <v>0</v>
      </c>
      <c r="D22" s="187">
        <v>0</v>
      </c>
      <c r="E22" s="187">
        <v>0</v>
      </c>
      <c r="F22" s="188"/>
      <c r="G22" s="189" t="s">
        <v>291</v>
      </c>
    </row>
    <row r="23" spans="1:7" x14ac:dyDescent="0.25">
      <c r="A23" s="185" t="s">
        <v>311</v>
      </c>
      <c r="B23" s="186" t="s">
        <v>312</v>
      </c>
      <c r="C23" s="187">
        <v>507.9</v>
      </c>
      <c r="D23" s="187">
        <v>7561.76</v>
      </c>
      <c r="E23" s="187">
        <v>0</v>
      </c>
      <c r="F23" s="188">
        <f t="shared" si="4"/>
        <v>0</v>
      </c>
      <c r="G23" s="189" t="s">
        <v>291</v>
      </c>
    </row>
    <row r="24" spans="1:7" s="176" customFormat="1" x14ac:dyDescent="0.25">
      <c r="A24" s="192" t="s">
        <v>313</v>
      </c>
      <c r="B24" s="182" t="s">
        <v>314</v>
      </c>
      <c r="C24" s="183">
        <f t="shared" ref="C24:D24" si="12">SUM(C25:C26)</f>
        <v>377.56</v>
      </c>
      <c r="D24" s="183">
        <f t="shared" si="12"/>
        <v>5800</v>
      </c>
      <c r="E24" s="183">
        <f>SUM(E25:E26)</f>
        <v>5534.56</v>
      </c>
      <c r="F24" s="184">
        <f t="shared" si="4"/>
        <v>1465.88</v>
      </c>
      <c r="G24" s="193">
        <f t="shared" ref="G24" si="13">E24/D24*100</f>
        <v>95.42</v>
      </c>
    </row>
    <row r="25" spans="1:7" x14ac:dyDescent="0.25">
      <c r="A25" s="185" t="s">
        <v>315</v>
      </c>
      <c r="B25" s="186" t="s">
        <v>316</v>
      </c>
      <c r="C25" s="187">
        <v>377.56</v>
      </c>
      <c r="D25" s="187">
        <v>5800</v>
      </c>
      <c r="E25" s="187">
        <v>832</v>
      </c>
      <c r="F25" s="188">
        <f t="shared" si="4"/>
        <v>220.36</v>
      </c>
      <c r="G25" s="189" t="s">
        <v>291</v>
      </c>
    </row>
    <row r="26" spans="1:7" x14ac:dyDescent="0.25">
      <c r="A26" s="185">
        <v>6632</v>
      </c>
      <c r="B26" s="186" t="s">
        <v>430</v>
      </c>
      <c r="C26" s="187">
        <v>0</v>
      </c>
      <c r="D26" s="187">
        <v>0</v>
      </c>
      <c r="E26" s="187">
        <v>4702.5600000000004</v>
      </c>
      <c r="F26" s="219" t="s">
        <v>291</v>
      </c>
      <c r="G26" s="189" t="s">
        <v>291</v>
      </c>
    </row>
    <row r="27" spans="1:7" s="176" customFormat="1" x14ac:dyDescent="0.25">
      <c r="A27" s="190" t="s">
        <v>317</v>
      </c>
      <c r="B27" s="178" t="s">
        <v>318</v>
      </c>
      <c r="C27" s="179">
        <f t="shared" ref="C27:E27" si="14">C28</f>
        <v>52047.15</v>
      </c>
      <c r="D27" s="179">
        <f t="shared" si="14"/>
        <v>179522.03</v>
      </c>
      <c r="E27" s="179">
        <f t="shared" si="14"/>
        <v>107707.35</v>
      </c>
      <c r="F27" s="180">
        <f t="shared" si="4"/>
        <v>206.94</v>
      </c>
      <c r="G27" s="191">
        <f t="shared" ref="G27:G28" si="15">E27/D27*100</f>
        <v>60</v>
      </c>
    </row>
    <row r="28" spans="1:7" s="176" customFormat="1" x14ac:dyDescent="0.25">
      <c r="A28" s="192" t="s">
        <v>319</v>
      </c>
      <c r="B28" s="182" t="s">
        <v>320</v>
      </c>
      <c r="C28" s="183">
        <f t="shared" ref="C28:E28" si="16">SUM(C29:C30)</f>
        <v>52047.15</v>
      </c>
      <c r="D28" s="183">
        <f>SUM(D29:D30)</f>
        <v>179522.03</v>
      </c>
      <c r="E28" s="183">
        <f t="shared" si="16"/>
        <v>107707.35</v>
      </c>
      <c r="F28" s="184">
        <f t="shared" si="4"/>
        <v>206.94</v>
      </c>
      <c r="G28" s="193">
        <f t="shared" si="15"/>
        <v>60</v>
      </c>
    </row>
    <row r="29" spans="1:7" x14ac:dyDescent="0.25">
      <c r="A29" s="185" t="s">
        <v>321</v>
      </c>
      <c r="B29" s="186" t="s">
        <v>322</v>
      </c>
      <c r="C29" s="187">
        <v>52047.15</v>
      </c>
      <c r="D29" s="187">
        <f>179522.03-D30</f>
        <v>157666.37</v>
      </c>
      <c r="E29" s="187">
        <v>85851.69</v>
      </c>
      <c r="F29" s="188">
        <f t="shared" si="4"/>
        <v>164.95</v>
      </c>
      <c r="G29" s="189" t="s">
        <v>291</v>
      </c>
    </row>
    <row r="30" spans="1:7" x14ac:dyDescent="0.25">
      <c r="A30" s="185" t="s">
        <v>323</v>
      </c>
      <c r="B30" s="186" t="s">
        <v>324</v>
      </c>
      <c r="C30" s="187">
        <v>0</v>
      </c>
      <c r="D30" s="186">
        <f>18287.5+3568.16</f>
        <v>21855.66</v>
      </c>
      <c r="E30" s="187">
        <v>21855.66</v>
      </c>
      <c r="F30" s="219" t="s">
        <v>291</v>
      </c>
      <c r="G30" s="189" t="s">
        <v>291</v>
      </c>
    </row>
    <row r="31" spans="1:7" s="176" customFormat="1" x14ac:dyDescent="0.25">
      <c r="A31" s="194">
        <v>7</v>
      </c>
      <c r="B31" s="173" t="s">
        <v>2</v>
      </c>
      <c r="C31" s="174">
        <f t="shared" ref="C31:E33" si="17">C32</f>
        <v>0</v>
      </c>
      <c r="D31" s="174">
        <f t="shared" si="17"/>
        <v>0</v>
      </c>
      <c r="E31" s="174">
        <f t="shared" si="17"/>
        <v>0</v>
      </c>
      <c r="F31" s="174"/>
      <c r="G31" s="180">
        <v>0</v>
      </c>
    </row>
    <row r="32" spans="1:7" s="176" customFormat="1" x14ac:dyDescent="0.25">
      <c r="A32" s="190">
        <v>72</v>
      </c>
      <c r="B32" s="178" t="s">
        <v>325</v>
      </c>
      <c r="C32" s="179">
        <f t="shared" si="17"/>
        <v>0</v>
      </c>
      <c r="D32" s="179">
        <f t="shared" si="17"/>
        <v>0</v>
      </c>
      <c r="E32" s="179">
        <f t="shared" si="17"/>
        <v>0</v>
      </c>
      <c r="F32" s="180"/>
      <c r="G32" s="180">
        <v>0</v>
      </c>
    </row>
    <row r="33" spans="1:7" s="176" customFormat="1" x14ac:dyDescent="0.25">
      <c r="A33" s="192">
        <v>721</v>
      </c>
      <c r="B33" s="182" t="s">
        <v>326</v>
      </c>
      <c r="C33" s="183">
        <f t="shared" si="17"/>
        <v>0</v>
      </c>
      <c r="D33" s="183">
        <f t="shared" si="17"/>
        <v>0</v>
      </c>
      <c r="E33" s="183">
        <f t="shared" si="17"/>
        <v>0</v>
      </c>
      <c r="F33" s="184"/>
      <c r="G33" s="184">
        <v>0</v>
      </c>
    </row>
    <row r="34" spans="1:7" x14ac:dyDescent="0.25">
      <c r="A34" s="185">
        <v>7211</v>
      </c>
      <c r="B34" s="186" t="s">
        <v>431</v>
      </c>
      <c r="C34" s="187">
        <v>0</v>
      </c>
      <c r="D34" s="186">
        <v>0</v>
      </c>
      <c r="E34" s="187">
        <v>0</v>
      </c>
      <c r="F34" s="188"/>
      <c r="G34" s="189" t="s">
        <v>291</v>
      </c>
    </row>
    <row r="35" spans="1:7" s="176" customFormat="1" x14ac:dyDescent="0.25">
      <c r="A35" s="192">
        <v>92221</v>
      </c>
      <c r="B35" s="182" t="s">
        <v>327</v>
      </c>
      <c r="C35" s="183">
        <v>-2902.01</v>
      </c>
      <c r="D35" s="183">
        <v>0</v>
      </c>
      <c r="E35" s="183">
        <v>0</v>
      </c>
      <c r="F35" s="184"/>
      <c r="G35" s="184"/>
    </row>
    <row r="36" spans="1:7" s="176" customFormat="1" x14ac:dyDescent="0.25">
      <c r="A36" s="192">
        <v>92211</v>
      </c>
      <c r="B36" s="182" t="s">
        <v>432</v>
      </c>
      <c r="C36" s="183"/>
      <c r="D36" s="183">
        <v>0</v>
      </c>
      <c r="E36" s="183">
        <v>1796.88</v>
      </c>
      <c r="F36" s="184"/>
      <c r="G36" s="184"/>
    </row>
    <row r="38" spans="1:7" x14ac:dyDescent="0.25">
      <c r="A38" t="s">
        <v>240</v>
      </c>
      <c r="C38" t="s">
        <v>242</v>
      </c>
      <c r="E38" t="s">
        <v>242</v>
      </c>
    </row>
    <row r="39" spans="1:7" x14ac:dyDescent="0.25">
      <c r="A39" t="s">
        <v>243</v>
      </c>
      <c r="C39" t="s">
        <v>245</v>
      </c>
      <c r="E39" t="s">
        <v>245</v>
      </c>
    </row>
    <row r="40" spans="1:7" x14ac:dyDescent="0.25">
      <c r="A40" t="s">
        <v>441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46" workbookViewId="0">
      <selection activeCell="A74" sqref="A74"/>
    </sheetView>
  </sheetViews>
  <sheetFormatPr defaultRowHeight="15" x14ac:dyDescent="0.25"/>
  <cols>
    <col min="2" max="2" width="47.42578125" style="186" customWidth="1"/>
    <col min="3" max="3" width="14.85546875" style="187" customWidth="1"/>
    <col min="4" max="4" width="14.140625" style="187" customWidth="1"/>
    <col min="5" max="5" width="14.85546875" style="187" customWidth="1"/>
    <col min="6" max="6" width="10.85546875" style="188" customWidth="1"/>
    <col min="7" max="7" width="10.28515625" style="186" customWidth="1"/>
    <col min="11" max="11" width="9.85546875" bestFit="1" customWidth="1"/>
  </cols>
  <sheetData>
    <row r="1" spans="1:11" x14ac:dyDescent="0.25">
      <c r="A1" s="243" t="s">
        <v>278</v>
      </c>
      <c r="B1" s="243"/>
      <c r="C1" s="243"/>
      <c r="D1" s="243"/>
      <c r="E1" s="243"/>
      <c r="F1" s="243"/>
      <c r="G1" s="243"/>
    </row>
    <row r="2" spans="1:11" x14ac:dyDescent="0.25">
      <c r="A2" s="243" t="s">
        <v>328</v>
      </c>
      <c r="B2" s="243"/>
      <c r="C2" s="243"/>
      <c r="D2" s="243"/>
      <c r="E2" s="243"/>
      <c r="F2" s="243"/>
      <c r="G2" s="243"/>
      <c r="I2">
        <v>7.5345000000000004</v>
      </c>
    </row>
    <row r="3" spans="1:11" ht="26.25" x14ac:dyDescent="0.25">
      <c r="A3" s="161" t="s">
        <v>279</v>
      </c>
      <c r="B3" s="162" t="s">
        <v>20</v>
      </c>
      <c r="C3" s="164" t="s">
        <v>329</v>
      </c>
      <c r="D3" s="163" t="s">
        <v>422</v>
      </c>
      <c r="E3" s="164" t="s">
        <v>423</v>
      </c>
      <c r="F3" s="195" t="s">
        <v>281</v>
      </c>
      <c r="G3" s="164" t="s">
        <v>282</v>
      </c>
    </row>
    <row r="4" spans="1:11" x14ac:dyDescent="0.25">
      <c r="A4" s="165">
        <v>1</v>
      </c>
      <c r="B4" s="166">
        <v>2</v>
      </c>
      <c r="C4" s="166">
        <v>5</v>
      </c>
      <c r="D4" s="166">
        <v>4</v>
      </c>
      <c r="E4" s="166">
        <v>5</v>
      </c>
      <c r="F4" s="166">
        <v>6</v>
      </c>
      <c r="G4" s="166">
        <v>7</v>
      </c>
      <c r="H4" s="167"/>
      <c r="I4" s="41"/>
    </row>
    <row r="5" spans="1:11" ht="18.75" customHeight="1" x14ac:dyDescent="0.25">
      <c r="A5" s="168"/>
      <c r="B5" s="169" t="s">
        <v>28</v>
      </c>
      <c r="C5" s="170">
        <f>C6+C57</f>
        <v>698561.53</v>
      </c>
      <c r="D5" s="196">
        <f>D6+D57</f>
        <v>1325588.23</v>
      </c>
      <c r="E5" s="170">
        <f>E6+E57</f>
        <v>922458.32</v>
      </c>
      <c r="F5" s="197">
        <f>E5/C5*100</f>
        <v>132.05000000000001</v>
      </c>
      <c r="G5" s="197">
        <f>E5/D5*100</f>
        <v>69.59</v>
      </c>
      <c r="H5" s="167"/>
    </row>
    <row r="6" spans="1:11" s="176" customFormat="1" x14ac:dyDescent="0.25">
      <c r="A6" s="172" t="s">
        <v>330</v>
      </c>
      <c r="B6" s="173" t="s">
        <v>331</v>
      </c>
      <c r="C6" s="174">
        <f>C7+C15+C46+C50+C53</f>
        <v>698511.31</v>
      </c>
      <c r="D6" s="174">
        <f>D7+D15+D46+D50</f>
        <v>1318806.77</v>
      </c>
      <c r="E6" s="174">
        <f>E7+E15+E46+E50+E53</f>
        <v>894716.04</v>
      </c>
      <c r="F6" s="175">
        <f t="shared" ref="F6:F49" si="0">E6/C6*100</f>
        <v>128.09</v>
      </c>
      <c r="G6" s="175">
        <f t="shared" ref="G6:G8" si="1">E6/D6*100</f>
        <v>67.84</v>
      </c>
      <c r="K6" s="198"/>
    </row>
    <row r="7" spans="1:11" s="176" customFormat="1" x14ac:dyDescent="0.25">
      <c r="A7" s="177" t="s">
        <v>332</v>
      </c>
      <c r="B7" s="178" t="s">
        <v>333</v>
      </c>
      <c r="C7" s="179">
        <f>C8+C10+C12</f>
        <v>570692.99</v>
      </c>
      <c r="D7" s="179">
        <f>D8+D10+D12</f>
        <v>1096857.1200000001</v>
      </c>
      <c r="E7" s="179">
        <f>E8+E10+E12</f>
        <v>756355.41</v>
      </c>
      <c r="F7" s="180">
        <f t="shared" si="0"/>
        <v>132.53</v>
      </c>
      <c r="G7" s="180">
        <f t="shared" si="1"/>
        <v>68.959999999999994</v>
      </c>
    </row>
    <row r="8" spans="1:11" s="176" customFormat="1" x14ac:dyDescent="0.25">
      <c r="A8" s="181" t="s">
        <v>334</v>
      </c>
      <c r="B8" s="182" t="s">
        <v>335</v>
      </c>
      <c r="C8" s="183">
        <f>C9</f>
        <v>473688.28</v>
      </c>
      <c r="D8" s="183">
        <f>D9</f>
        <v>913155.5</v>
      </c>
      <c r="E8" s="183">
        <f>E9</f>
        <v>626838.37</v>
      </c>
      <c r="F8" s="184">
        <f t="shared" si="0"/>
        <v>132.33000000000001</v>
      </c>
      <c r="G8" s="184">
        <f t="shared" si="1"/>
        <v>68.650000000000006</v>
      </c>
    </row>
    <row r="9" spans="1:11" x14ac:dyDescent="0.25">
      <c r="A9" t="s">
        <v>181</v>
      </c>
      <c r="B9" s="186" t="s">
        <v>336</v>
      </c>
      <c r="C9" s="187">
        <v>473688.28</v>
      </c>
      <c r="D9" s="187">
        <v>913155.5</v>
      </c>
      <c r="E9" s="187">
        <v>626838.37</v>
      </c>
      <c r="F9" s="188">
        <f t="shared" si="0"/>
        <v>132.33000000000001</v>
      </c>
      <c r="G9" s="186" t="s">
        <v>291</v>
      </c>
    </row>
    <row r="10" spans="1:11" s="176" customFormat="1" x14ac:dyDescent="0.25">
      <c r="A10" s="181" t="s">
        <v>337</v>
      </c>
      <c r="B10" s="182" t="s">
        <v>338</v>
      </c>
      <c r="C10" s="183">
        <f>SUM(C11)</f>
        <v>18593.599999999999</v>
      </c>
      <c r="D10" s="183">
        <f>SUM(D11)</f>
        <v>36054.15</v>
      </c>
      <c r="E10" s="183">
        <f>SUM(E11)</f>
        <v>26081.040000000001</v>
      </c>
      <c r="F10" s="184">
        <f t="shared" si="0"/>
        <v>140.27000000000001</v>
      </c>
      <c r="G10" s="184">
        <f>E10/D10*100</f>
        <v>72.34</v>
      </c>
    </row>
    <row r="11" spans="1:11" x14ac:dyDescent="0.25">
      <c r="A11" t="s">
        <v>182</v>
      </c>
      <c r="B11" s="186" t="s">
        <v>338</v>
      </c>
      <c r="C11" s="187">
        <v>18593.599999999999</v>
      </c>
      <c r="D11" s="187">
        <v>36054.15</v>
      </c>
      <c r="E11" s="187">
        <v>26081.040000000001</v>
      </c>
      <c r="F11" s="188">
        <f t="shared" si="0"/>
        <v>140.27000000000001</v>
      </c>
      <c r="G11" s="186" t="s">
        <v>291</v>
      </c>
      <c r="K11" s="155"/>
    </row>
    <row r="12" spans="1:11" s="176" customFormat="1" x14ac:dyDescent="0.25">
      <c r="A12" s="181" t="s">
        <v>339</v>
      </c>
      <c r="B12" s="182" t="s">
        <v>340</v>
      </c>
      <c r="C12" s="183">
        <f>SUM(C13:C14)</f>
        <v>78411.11</v>
      </c>
      <c r="D12" s="183">
        <f>SUM(D13:D14)</f>
        <v>147647.47</v>
      </c>
      <c r="E12" s="183">
        <f>SUM(E13:E14)</f>
        <v>103436</v>
      </c>
      <c r="F12" s="184">
        <f t="shared" si="0"/>
        <v>131.91</v>
      </c>
      <c r="G12" s="184">
        <f>E12/D12*100</f>
        <v>70.06</v>
      </c>
    </row>
    <row r="13" spans="1:11" x14ac:dyDescent="0.25">
      <c r="A13" t="s">
        <v>183</v>
      </c>
      <c r="B13" s="186" t="s">
        <v>341</v>
      </c>
      <c r="C13" s="187">
        <v>78396.38</v>
      </c>
      <c r="D13" s="187">
        <v>147620.93</v>
      </c>
      <c r="E13" s="187">
        <v>103436</v>
      </c>
      <c r="F13" s="188">
        <f t="shared" si="0"/>
        <v>131.94</v>
      </c>
      <c r="G13" s="186" t="s">
        <v>291</v>
      </c>
    </row>
    <row r="14" spans="1:11" x14ac:dyDescent="0.25">
      <c r="A14" t="s">
        <v>196</v>
      </c>
      <c r="B14" s="186" t="s">
        <v>342</v>
      </c>
      <c r="C14" s="187">
        <v>14.73</v>
      </c>
      <c r="D14" s="187">
        <v>26.54</v>
      </c>
      <c r="E14" s="187">
        <v>0</v>
      </c>
      <c r="F14" s="188">
        <f t="shared" si="0"/>
        <v>0</v>
      </c>
      <c r="G14" s="186" t="s">
        <v>291</v>
      </c>
    </row>
    <row r="15" spans="1:11" s="176" customFormat="1" x14ac:dyDescent="0.25">
      <c r="A15" s="177" t="s">
        <v>343</v>
      </c>
      <c r="B15" s="178" t="s">
        <v>344</v>
      </c>
      <c r="C15" s="179">
        <f>C16+C21+C28+C38</f>
        <v>124386.87</v>
      </c>
      <c r="D15" s="179">
        <f>D16+D21+D28+D38</f>
        <v>218273.23</v>
      </c>
      <c r="E15" s="179">
        <f>E16+E21+E28+E38</f>
        <v>136862.32</v>
      </c>
      <c r="F15" s="180">
        <f t="shared" si="0"/>
        <v>110.03</v>
      </c>
      <c r="G15" s="180">
        <f>E15/D15*100</f>
        <v>62.7</v>
      </c>
    </row>
    <row r="16" spans="1:11" s="176" customFormat="1" x14ac:dyDescent="0.25">
      <c r="A16" s="181" t="s">
        <v>345</v>
      </c>
      <c r="B16" s="182" t="s">
        <v>346</v>
      </c>
      <c r="C16" s="183">
        <f>SUM(C17:C19)</f>
        <v>26831.03</v>
      </c>
      <c r="D16" s="183">
        <f>SUM(D17:D19)</f>
        <v>59096</v>
      </c>
      <c r="E16" s="183">
        <f>SUM(E17:E20)</f>
        <v>27565.75</v>
      </c>
      <c r="F16" s="184">
        <f t="shared" si="0"/>
        <v>102.74</v>
      </c>
      <c r="G16" s="184">
        <f>E16/D16*100</f>
        <v>46.65</v>
      </c>
    </row>
    <row r="17" spans="1:7" x14ac:dyDescent="0.25">
      <c r="A17" t="s">
        <v>184</v>
      </c>
      <c r="B17" s="186" t="s">
        <v>347</v>
      </c>
      <c r="C17" s="187">
        <v>5433.63</v>
      </c>
      <c r="D17" s="187">
        <v>11385.19</v>
      </c>
      <c r="E17" s="187">
        <v>4522.1000000000004</v>
      </c>
      <c r="F17" s="188">
        <f t="shared" si="0"/>
        <v>83.22</v>
      </c>
      <c r="G17" s="186" t="s">
        <v>291</v>
      </c>
    </row>
    <row r="18" spans="1:7" x14ac:dyDescent="0.25">
      <c r="A18" t="s">
        <v>185</v>
      </c>
      <c r="B18" s="186" t="s">
        <v>348</v>
      </c>
      <c r="C18" s="187">
        <v>21025.72</v>
      </c>
      <c r="D18" s="187">
        <v>44330.48</v>
      </c>
      <c r="E18" s="187">
        <v>21861.11</v>
      </c>
      <c r="F18" s="188">
        <f t="shared" si="0"/>
        <v>103.97</v>
      </c>
      <c r="G18" s="186" t="s">
        <v>291</v>
      </c>
    </row>
    <row r="19" spans="1:7" x14ac:dyDescent="0.25">
      <c r="A19" t="s">
        <v>349</v>
      </c>
      <c r="B19" s="186" t="s">
        <v>350</v>
      </c>
      <c r="C19" s="187">
        <v>371.68</v>
      </c>
      <c r="D19" s="187">
        <v>3380.33</v>
      </c>
      <c r="E19" s="187">
        <v>330</v>
      </c>
      <c r="F19" s="188">
        <f t="shared" si="0"/>
        <v>88.79</v>
      </c>
      <c r="G19" s="186" t="s">
        <v>291</v>
      </c>
    </row>
    <row r="20" spans="1:7" x14ac:dyDescent="0.25">
      <c r="A20" s="185">
        <v>3214</v>
      </c>
      <c r="B20" s="186" t="s">
        <v>435</v>
      </c>
      <c r="C20" s="187">
        <v>0</v>
      </c>
      <c r="D20" s="187">
        <v>0</v>
      </c>
      <c r="E20" s="187">
        <v>852.54</v>
      </c>
      <c r="F20" s="188" t="e">
        <f t="shared" ref="F20" si="2">E20/C20*100</f>
        <v>#DIV/0!</v>
      </c>
      <c r="G20" s="186" t="s">
        <v>291</v>
      </c>
    </row>
    <row r="21" spans="1:7" s="176" customFormat="1" x14ac:dyDescent="0.25">
      <c r="A21" s="181" t="s">
        <v>351</v>
      </c>
      <c r="B21" s="182" t="s">
        <v>352</v>
      </c>
      <c r="C21" s="183">
        <f>SUM(C22:C27)</f>
        <v>71680.56</v>
      </c>
      <c r="D21" s="183">
        <f>SUM(D22:D27)</f>
        <v>109299.09</v>
      </c>
      <c r="E21" s="183">
        <f>SUM(E22:E27)</f>
        <v>74427.199999999997</v>
      </c>
      <c r="F21" s="184">
        <f t="shared" si="0"/>
        <v>103.83</v>
      </c>
      <c r="G21" s="184">
        <f>E21/D21*100</f>
        <v>68.09</v>
      </c>
    </row>
    <row r="22" spans="1:7" x14ac:dyDescent="0.25">
      <c r="A22" t="s">
        <v>199</v>
      </c>
      <c r="B22" s="186" t="s">
        <v>353</v>
      </c>
      <c r="C22" s="187">
        <v>1476.02</v>
      </c>
      <c r="D22" s="187">
        <v>32362.75</v>
      </c>
      <c r="E22" s="187">
        <v>5942.33</v>
      </c>
      <c r="F22" s="188">
        <f t="shared" si="0"/>
        <v>402.59</v>
      </c>
      <c r="G22" s="186" t="s">
        <v>291</v>
      </c>
    </row>
    <row r="23" spans="1:7" x14ac:dyDescent="0.25">
      <c r="A23" t="s">
        <v>200</v>
      </c>
      <c r="B23" s="186" t="s">
        <v>354</v>
      </c>
      <c r="C23" s="187">
        <v>62266.41</v>
      </c>
      <c r="D23" s="187">
        <v>57625.85</v>
      </c>
      <c r="E23" s="187">
        <v>54916.38</v>
      </c>
      <c r="F23" s="188">
        <f t="shared" si="0"/>
        <v>88.2</v>
      </c>
      <c r="G23" s="186" t="s">
        <v>291</v>
      </c>
    </row>
    <row r="24" spans="1:7" x14ac:dyDescent="0.25">
      <c r="A24" t="s">
        <v>355</v>
      </c>
      <c r="B24" s="186" t="s">
        <v>356</v>
      </c>
      <c r="C24" s="187">
        <v>5209.88</v>
      </c>
      <c r="D24" s="187">
        <v>14692.41</v>
      </c>
      <c r="E24" s="187">
        <v>12411.09</v>
      </c>
      <c r="F24" s="188">
        <f t="shared" si="0"/>
        <v>238.22</v>
      </c>
      <c r="G24" s="186" t="s">
        <v>291</v>
      </c>
    </row>
    <row r="25" spans="1:7" x14ac:dyDescent="0.25">
      <c r="A25" t="s">
        <v>186</v>
      </c>
      <c r="B25" s="186" t="s">
        <v>357</v>
      </c>
      <c r="C25" s="187">
        <v>1674.07</v>
      </c>
      <c r="D25" s="187">
        <v>2521.73</v>
      </c>
      <c r="E25" s="187">
        <v>472.63</v>
      </c>
      <c r="F25" s="188">
        <f t="shared" si="0"/>
        <v>28.23</v>
      </c>
      <c r="G25" s="186" t="s">
        <v>291</v>
      </c>
    </row>
    <row r="26" spans="1:7" x14ac:dyDescent="0.25">
      <c r="A26" t="s">
        <v>201</v>
      </c>
      <c r="B26" s="186" t="s">
        <v>358</v>
      </c>
      <c r="C26" s="187">
        <v>1054.18</v>
      </c>
      <c r="D26" s="187">
        <v>1738.66</v>
      </c>
      <c r="E26" s="187">
        <v>107.03</v>
      </c>
      <c r="F26" s="188">
        <f t="shared" si="0"/>
        <v>10.15</v>
      </c>
      <c r="G26" s="186" t="s">
        <v>291</v>
      </c>
    </row>
    <row r="27" spans="1:7" x14ac:dyDescent="0.25">
      <c r="A27" t="s">
        <v>206</v>
      </c>
      <c r="B27" s="186" t="s">
        <v>359</v>
      </c>
      <c r="C27" s="187">
        <v>0</v>
      </c>
      <c r="D27" s="187">
        <v>357.69</v>
      </c>
      <c r="E27" s="187">
        <v>577.74</v>
      </c>
      <c r="G27" s="186" t="s">
        <v>291</v>
      </c>
    </row>
    <row r="28" spans="1:7" s="176" customFormat="1" x14ac:dyDescent="0.25">
      <c r="A28" s="181" t="s">
        <v>360</v>
      </c>
      <c r="B28" s="182" t="s">
        <v>361</v>
      </c>
      <c r="C28" s="183">
        <f>SUM(C29:C37)</f>
        <v>18876.740000000002</v>
      </c>
      <c r="D28" s="183">
        <f>SUM(D29:D37)</f>
        <v>37684.22</v>
      </c>
      <c r="E28" s="183">
        <f>SUM(E29:E37)</f>
        <v>26384.880000000001</v>
      </c>
      <c r="F28" s="184">
        <f t="shared" si="0"/>
        <v>139.77000000000001</v>
      </c>
      <c r="G28" s="184">
        <f>E28/D28*100</f>
        <v>70.02</v>
      </c>
    </row>
    <row r="29" spans="1:7" x14ac:dyDescent="0.25">
      <c r="A29" t="s">
        <v>362</v>
      </c>
      <c r="B29" s="186" t="s">
        <v>363</v>
      </c>
      <c r="C29" s="187">
        <v>7166.21</v>
      </c>
      <c r="D29" s="187">
        <v>14334.06</v>
      </c>
      <c r="E29" s="187">
        <v>10186.540000000001</v>
      </c>
      <c r="F29" s="188">
        <f t="shared" si="0"/>
        <v>142.15</v>
      </c>
      <c r="G29" s="186" t="s">
        <v>291</v>
      </c>
    </row>
    <row r="30" spans="1:7" x14ac:dyDescent="0.25">
      <c r="A30" t="s">
        <v>187</v>
      </c>
      <c r="B30" s="186" t="s">
        <v>364</v>
      </c>
      <c r="C30" s="187">
        <v>6759.65</v>
      </c>
      <c r="D30" s="187">
        <v>11177.77</v>
      </c>
      <c r="E30" s="187">
        <v>5118.67</v>
      </c>
      <c r="F30" s="188">
        <f t="shared" si="0"/>
        <v>75.72</v>
      </c>
      <c r="G30" s="186" t="s">
        <v>291</v>
      </c>
    </row>
    <row r="31" spans="1:7" x14ac:dyDescent="0.25">
      <c r="A31" t="s">
        <v>208</v>
      </c>
      <c r="B31" s="186" t="s">
        <v>365</v>
      </c>
      <c r="C31" s="187">
        <v>0</v>
      </c>
      <c r="D31" s="187">
        <v>79.63</v>
      </c>
      <c r="E31" s="187">
        <v>2064.7600000000002</v>
      </c>
      <c r="F31" s="188">
        <v>0</v>
      </c>
      <c r="G31" s="186" t="s">
        <v>291</v>
      </c>
    </row>
    <row r="32" spans="1:7" x14ac:dyDescent="0.25">
      <c r="A32" t="s">
        <v>366</v>
      </c>
      <c r="B32" s="186" t="s">
        <v>367</v>
      </c>
      <c r="C32" s="187">
        <v>2267.9499999999998</v>
      </c>
      <c r="D32" s="187">
        <v>3716.24</v>
      </c>
      <c r="E32" s="187">
        <v>0</v>
      </c>
      <c r="F32" s="188">
        <f t="shared" si="0"/>
        <v>0</v>
      </c>
      <c r="G32" s="186" t="s">
        <v>291</v>
      </c>
    </row>
    <row r="33" spans="1:7" x14ac:dyDescent="0.25">
      <c r="A33" t="s">
        <v>368</v>
      </c>
      <c r="B33" s="186" t="s">
        <v>369</v>
      </c>
      <c r="C33" s="187">
        <v>426</v>
      </c>
      <c r="D33" s="187">
        <v>464.53</v>
      </c>
      <c r="E33" s="187">
        <v>3737.49</v>
      </c>
      <c r="F33" s="188">
        <f t="shared" si="0"/>
        <v>877.35</v>
      </c>
      <c r="G33" s="186" t="s">
        <v>291</v>
      </c>
    </row>
    <row r="34" spans="1:7" x14ac:dyDescent="0.25">
      <c r="A34" t="s">
        <v>195</v>
      </c>
      <c r="B34" s="186" t="s">
        <v>370</v>
      </c>
      <c r="C34" s="187">
        <v>257.33</v>
      </c>
      <c r="D34" s="187">
        <v>2256.2800000000002</v>
      </c>
      <c r="E34" s="187">
        <v>3805.73</v>
      </c>
      <c r="F34" s="188">
        <f t="shared" si="0"/>
        <v>1478.93</v>
      </c>
      <c r="G34" s="186" t="s">
        <v>291</v>
      </c>
    </row>
    <row r="35" spans="1:7" x14ac:dyDescent="0.25">
      <c r="A35" t="s">
        <v>207</v>
      </c>
      <c r="B35" s="186" t="s">
        <v>371</v>
      </c>
      <c r="C35" s="187">
        <v>593.09</v>
      </c>
      <c r="D35" s="187">
        <v>663.61</v>
      </c>
      <c r="E35" s="187">
        <v>122.23</v>
      </c>
      <c r="F35" s="188">
        <f t="shared" si="0"/>
        <v>20.61</v>
      </c>
      <c r="G35" s="186" t="s">
        <v>291</v>
      </c>
    </row>
    <row r="36" spans="1:7" x14ac:dyDescent="0.25">
      <c r="A36" t="s">
        <v>372</v>
      </c>
      <c r="B36" s="186" t="s">
        <v>373</v>
      </c>
      <c r="C36" s="187">
        <v>1156.5</v>
      </c>
      <c r="D36" s="187">
        <v>2244.7399999999998</v>
      </c>
      <c r="E36" s="187">
        <v>1024.46</v>
      </c>
      <c r="F36" s="188">
        <f t="shared" si="0"/>
        <v>88.58</v>
      </c>
      <c r="G36" s="186" t="s">
        <v>291</v>
      </c>
    </row>
    <row r="37" spans="1:7" x14ac:dyDescent="0.25">
      <c r="A37" t="s">
        <v>374</v>
      </c>
      <c r="B37" s="186" t="s">
        <v>375</v>
      </c>
      <c r="C37" s="187">
        <v>250.01</v>
      </c>
      <c r="D37" s="187">
        <v>2747.36</v>
      </c>
      <c r="E37" s="187">
        <v>325</v>
      </c>
      <c r="F37" s="188">
        <f t="shared" si="0"/>
        <v>129.99</v>
      </c>
      <c r="G37" s="186" t="s">
        <v>291</v>
      </c>
    </row>
    <row r="38" spans="1:7" s="176" customFormat="1" x14ac:dyDescent="0.25">
      <c r="A38" s="181" t="s">
        <v>376</v>
      </c>
      <c r="B38" s="182" t="s">
        <v>377</v>
      </c>
      <c r="C38" s="183">
        <f>SUM(C39:C45)</f>
        <v>6998.54</v>
      </c>
      <c r="D38" s="183">
        <f>SUM(D39:D45)</f>
        <v>12193.92</v>
      </c>
      <c r="E38" s="183">
        <f>SUM(E39:E45)</f>
        <v>8484.49</v>
      </c>
      <c r="F38" s="184">
        <f t="shared" si="0"/>
        <v>121.23</v>
      </c>
      <c r="G38" s="184">
        <f>E38/D38*100</f>
        <v>69.58</v>
      </c>
    </row>
    <row r="39" spans="1:7" x14ac:dyDescent="0.25">
      <c r="A39" s="185">
        <v>3291</v>
      </c>
      <c r="B39" s="186" t="s">
        <v>378</v>
      </c>
      <c r="C39" s="187">
        <v>0</v>
      </c>
      <c r="D39" s="187">
        <v>1327.23</v>
      </c>
      <c r="E39" s="187">
        <v>0</v>
      </c>
      <c r="F39" s="188">
        <v>0</v>
      </c>
      <c r="G39" s="186" t="s">
        <v>291</v>
      </c>
    </row>
    <row r="40" spans="1:7" x14ac:dyDescent="0.25">
      <c r="A40" t="s">
        <v>193</v>
      </c>
      <c r="B40" s="186" t="s">
        <v>379</v>
      </c>
      <c r="C40" s="187">
        <v>0</v>
      </c>
      <c r="D40" s="187">
        <v>1844.85</v>
      </c>
      <c r="E40" s="187">
        <v>0</v>
      </c>
      <c r="G40" s="186" t="s">
        <v>291</v>
      </c>
    </row>
    <row r="41" spans="1:7" x14ac:dyDescent="0.25">
      <c r="A41" t="s">
        <v>178</v>
      </c>
      <c r="B41" s="186" t="s">
        <v>380</v>
      </c>
      <c r="C41" s="187">
        <v>241.88</v>
      </c>
      <c r="D41" s="187">
        <v>865.97</v>
      </c>
      <c r="E41" s="187">
        <v>217.3</v>
      </c>
      <c r="F41" s="188">
        <f t="shared" si="0"/>
        <v>89.84</v>
      </c>
      <c r="G41" s="186" t="s">
        <v>291</v>
      </c>
    </row>
    <row r="42" spans="1:7" x14ac:dyDescent="0.25">
      <c r="A42" s="185">
        <v>3294</v>
      </c>
      <c r="B42" s="186" t="s">
        <v>381</v>
      </c>
      <c r="C42" s="187">
        <v>108.09</v>
      </c>
      <c r="D42" s="187">
        <v>152.63</v>
      </c>
      <c r="E42" s="187">
        <v>143.09</v>
      </c>
      <c r="F42" s="188">
        <f t="shared" si="0"/>
        <v>132.38</v>
      </c>
      <c r="G42" s="186" t="s">
        <v>291</v>
      </c>
    </row>
    <row r="43" spans="1:7" x14ac:dyDescent="0.25">
      <c r="A43" t="s">
        <v>197</v>
      </c>
      <c r="B43" s="186" t="s">
        <v>382</v>
      </c>
      <c r="C43" s="187">
        <v>2000.71</v>
      </c>
      <c r="D43" s="187">
        <v>3095.76</v>
      </c>
      <c r="E43" s="187">
        <v>2045.94</v>
      </c>
      <c r="F43" s="188">
        <f t="shared" si="0"/>
        <v>102.26</v>
      </c>
      <c r="G43" s="186" t="s">
        <v>291</v>
      </c>
    </row>
    <row r="44" spans="1:7" x14ac:dyDescent="0.25">
      <c r="A44" t="s">
        <v>198</v>
      </c>
      <c r="B44" s="186" t="s">
        <v>383</v>
      </c>
      <c r="C44" s="187">
        <v>461.22</v>
      </c>
      <c r="D44" s="187">
        <v>530.89</v>
      </c>
      <c r="E44" s="187">
        <v>0</v>
      </c>
      <c r="F44" s="188">
        <f t="shared" si="0"/>
        <v>0</v>
      </c>
      <c r="G44" s="186" t="s">
        <v>291</v>
      </c>
    </row>
    <row r="45" spans="1:7" x14ac:dyDescent="0.25">
      <c r="A45" t="s">
        <v>180</v>
      </c>
      <c r="B45" s="186" t="s">
        <v>377</v>
      </c>
      <c r="C45" s="187">
        <v>4186.6400000000003</v>
      </c>
      <c r="D45" s="187">
        <v>4376.59</v>
      </c>
      <c r="E45" s="187">
        <v>6078.16</v>
      </c>
      <c r="F45" s="188">
        <f t="shared" si="0"/>
        <v>145.18</v>
      </c>
      <c r="G45" s="186" t="s">
        <v>291</v>
      </c>
    </row>
    <row r="46" spans="1:7" s="176" customFormat="1" x14ac:dyDescent="0.25">
      <c r="A46" s="177" t="s">
        <v>384</v>
      </c>
      <c r="B46" s="178" t="s">
        <v>98</v>
      </c>
      <c r="C46" s="179">
        <f>C47</f>
        <v>842.29</v>
      </c>
      <c r="D46" s="179">
        <f>D47</f>
        <v>1420.13</v>
      </c>
      <c r="E46" s="179">
        <f>E47</f>
        <v>494.46</v>
      </c>
      <c r="F46" s="180">
        <f t="shared" si="0"/>
        <v>58.7</v>
      </c>
      <c r="G46" s="180">
        <f>E46/D46*100</f>
        <v>34.82</v>
      </c>
    </row>
    <row r="47" spans="1:7" s="176" customFormat="1" x14ac:dyDescent="0.25">
      <c r="A47" s="181" t="s">
        <v>385</v>
      </c>
      <c r="B47" s="182" t="s">
        <v>386</v>
      </c>
      <c r="C47" s="183">
        <f>SUM(C48:C49)</f>
        <v>842.29</v>
      </c>
      <c r="D47" s="183">
        <f>SUM(D48:D49)</f>
        <v>1420.13</v>
      </c>
      <c r="E47" s="183">
        <f>SUM(E48:E49)</f>
        <v>494.46</v>
      </c>
      <c r="F47" s="184">
        <f t="shared" si="0"/>
        <v>58.7</v>
      </c>
      <c r="G47" s="184">
        <f>E47/D47*100</f>
        <v>34.82</v>
      </c>
    </row>
    <row r="48" spans="1:7" x14ac:dyDescent="0.25">
      <c r="A48" t="s">
        <v>177</v>
      </c>
      <c r="B48" s="186" t="s">
        <v>387</v>
      </c>
      <c r="C48" s="187">
        <v>485.45</v>
      </c>
      <c r="D48" s="187">
        <v>1247.5899999999999</v>
      </c>
      <c r="E48" s="187">
        <v>494.18</v>
      </c>
      <c r="F48" s="188">
        <f>E48/C48*100</f>
        <v>101.8</v>
      </c>
      <c r="G48" s="186" t="s">
        <v>291</v>
      </c>
    </row>
    <row r="49" spans="1:9" x14ac:dyDescent="0.25">
      <c r="A49" t="s">
        <v>188</v>
      </c>
      <c r="B49" s="186" t="s">
        <v>388</v>
      </c>
      <c r="C49" s="187">
        <v>356.84</v>
      </c>
      <c r="D49" s="187">
        <v>172.54</v>
      </c>
      <c r="E49" s="187">
        <v>0.28000000000000003</v>
      </c>
      <c r="F49" s="188">
        <f t="shared" si="0"/>
        <v>0.08</v>
      </c>
      <c r="G49" s="186" t="s">
        <v>291</v>
      </c>
    </row>
    <row r="50" spans="1:9" s="176" customFormat="1" x14ac:dyDescent="0.25">
      <c r="A50" s="177" t="s">
        <v>389</v>
      </c>
      <c r="B50" s="178" t="s">
        <v>390</v>
      </c>
      <c r="C50" s="179">
        <f>C51</f>
        <v>1567.39</v>
      </c>
      <c r="D50" s="179">
        <f>D51</f>
        <v>2256.29</v>
      </c>
      <c r="E50" s="179">
        <f>E51</f>
        <v>0</v>
      </c>
      <c r="F50" s="180">
        <v>0</v>
      </c>
      <c r="G50" s="180">
        <f>E50/D50*100</f>
        <v>0</v>
      </c>
    </row>
    <row r="51" spans="1:9" s="176" customFormat="1" x14ac:dyDescent="0.25">
      <c r="A51" s="181" t="s">
        <v>391</v>
      </c>
      <c r="B51" s="182" t="s">
        <v>392</v>
      </c>
      <c r="C51" s="183">
        <f>SUM(C52)</f>
        <v>1567.39</v>
      </c>
      <c r="D51" s="183">
        <f>SUM(D52)</f>
        <v>2256.29</v>
      </c>
      <c r="E51" s="183">
        <f>SUM(E52)</f>
        <v>0</v>
      </c>
      <c r="F51" s="184">
        <v>0</v>
      </c>
      <c r="G51" s="184">
        <f>E51/D51*100</f>
        <v>0</v>
      </c>
    </row>
    <row r="52" spans="1:9" x14ac:dyDescent="0.25">
      <c r="A52" t="s">
        <v>209</v>
      </c>
      <c r="B52" s="186" t="s">
        <v>393</v>
      </c>
      <c r="C52" s="187">
        <v>1567.39</v>
      </c>
      <c r="D52" s="187">
        <v>2256.29</v>
      </c>
      <c r="E52" s="187">
        <v>0</v>
      </c>
      <c r="F52" s="188">
        <v>0</v>
      </c>
      <c r="G52" s="186" t="s">
        <v>291</v>
      </c>
    </row>
    <row r="53" spans="1:9" s="176" customFormat="1" x14ac:dyDescent="0.25">
      <c r="A53" s="190">
        <v>38</v>
      </c>
      <c r="B53" s="178" t="s">
        <v>394</v>
      </c>
      <c r="C53" s="179">
        <f>C54</f>
        <v>1021.77</v>
      </c>
      <c r="D53" s="179">
        <f>D54</f>
        <v>0</v>
      </c>
      <c r="E53" s="179">
        <f>E54</f>
        <v>1003.85</v>
      </c>
      <c r="F53" s="180"/>
      <c r="G53" s="180">
        <v>0</v>
      </c>
    </row>
    <row r="54" spans="1:9" s="176" customFormat="1" x14ac:dyDescent="0.25">
      <c r="A54" s="192">
        <v>381</v>
      </c>
      <c r="B54" s="182" t="s">
        <v>316</v>
      </c>
      <c r="C54" s="183">
        <f>SUM(C55:C56)</f>
        <v>1021.77</v>
      </c>
      <c r="D54" s="183">
        <f>SUM(D55:D56)</f>
        <v>0</v>
      </c>
      <c r="E54" s="183">
        <f>SUM(E55:E56)</f>
        <v>1003.85</v>
      </c>
      <c r="F54" s="184"/>
      <c r="G54" s="184">
        <v>0</v>
      </c>
    </row>
    <row r="55" spans="1:9" x14ac:dyDescent="0.25">
      <c r="A55" s="185">
        <v>3811</v>
      </c>
      <c r="B55" s="186" t="s">
        <v>103</v>
      </c>
      <c r="C55" s="187">
        <v>0</v>
      </c>
      <c r="D55" s="187">
        <v>0</v>
      </c>
      <c r="E55" s="187">
        <v>0</v>
      </c>
      <c r="G55" s="186" t="s">
        <v>291</v>
      </c>
    </row>
    <row r="56" spans="1:9" x14ac:dyDescent="0.25">
      <c r="A56" s="185">
        <v>3812</v>
      </c>
      <c r="B56" s="186" t="s">
        <v>276</v>
      </c>
      <c r="C56" s="187">
        <v>1021.77</v>
      </c>
      <c r="D56" s="187">
        <v>0</v>
      </c>
      <c r="E56" s="187">
        <v>1003.85</v>
      </c>
      <c r="G56" s="186" t="s">
        <v>291</v>
      </c>
    </row>
    <row r="57" spans="1:9" s="176" customFormat="1" x14ac:dyDescent="0.25">
      <c r="A57" s="172" t="s">
        <v>395</v>
      </c>
      <c r="B57" s="173" t="s">
        <v>5</v>
      </c>
      <c r="C57" s="174">
        <f>C58+C68</f>
        <v>50.22</v>
      </c>
      <c r="D57" s="174">
        <f>D58+D68</f>
        <v>6781.46</v>
      </c>
      <c r="E57" s="174">
        <f>E58+E68</f>
        <v>27742.28</v>
      </c>
      <c r="F57" s="175">
        <f t="shared" ref="F57:F61" si="3">E57/C57*100</f>
        <v>55241.5</v>
      </c>
      <c r="G57" s="175">
        <f>E57/D57*100</f>
        <v>409.09</v>
      </c>
      <c r="I57" s="176">
        <f>C57*I2</f>
        <v>378.38258999999999</v>
      </c>
    </row>
    <row r="58" spans="1:9" s="176" customFormat="1" x14ac:dyDescent="0.25">
      <c r="A58" s="177" t="s">
        <v>396</v>
      </c>
      <c r="B58" s="178" t="s">
        <v>397</v>
      </c>
      <c r="C58" s="179">
        <f>C59+C61+C66</f>
        <v>50.22</v>
      </c>
      <c r="D58" s="179">
        <f>D59+D61+D66</f>
        <v>6781.46</v>
      </c>
      <c r="E58" s="179">
        <f>E59+E61+E66</f>
        <v>26617.279999999999</v>
      </c>
      <c r="F58" s="180">
        <f t="shared" si="3"/>
        <v>53001.35</v>
      </c>
      <c r="G58" s="180">
        <f>E58/D58*100</f>
        <v>392.5</v>
      </c>
    </row>
    <row r="59" spans="1:9" s="176" customFormat="1" x14ac:dyDescent="0.25">
      <c r="A59" s="181" t="s">
        <v>398</v>
      </c>
      <c r="B59" s="182" t="s">
        <v>399</v>
      </c>
      <c r="C59" s="183">
        <f>SUM(C60)</f>
        <v>0</v>
      </c>
      <c r="D59" s="183">
        <f>SUM(D60)</f>
        <v>0</v>
      </c>
      <c r="E59" s="183">
        <f>SUM(E60)</f>
        <v>18287.5</v>
      </c>
      <c r="F59" s="184">
        <v>0</v>
      </c>
      <c r="G59" s="184"/>
    </row>
    <row r="60" spans="1:9" x14ac:dyDescent="0.25">
      <c r="A60" t="s">
        <v>212</v>
      </c>
      <c r="B60" s="186" t="s">
        <v>400</v>
      </c>
      <c r="C60" s="187">
        <v>0</v>
      </c>
      <c r="D60" s="187">
        <v>0</v>
      </c>
      <c r="E60" s="187">
        <v>18287.5</v>
      </c>
      <c r="F60" s="188">
        <v>0</v>
      </c>
      <c r="G60" s="186" t="s">
        <v>291</v>
      </c>
    </row>
    <row r="61" spans="1:9" s="176" customFormat="1" x14ac:dyDescent="0.25">
      <c r="A61" s="181" t="s">
        <v>401</v>
      </c>
      <c r="B61" s="182" t="s">
        <v>402</v>
      </c>
      <c r="C61" s="183">
        <f>SUM(C62:C65)</f>
        <v>50.22</v>
      </c>
      <c r="D61" s="183">
        <f>SUM(D62:D65)</f>
        <v>4675.7</v>
      </c>
      <c r="E61" s="183">
        <f>SUM(E62:E65)</f>
        <v>7366.03</v>
      </c>
      <c r="F61" s="184">
        <f t="shared" si="3"/>
        <v>14667.52</v>
      </c>
      <c r="G61" s="184">
        <f>E61/D61*100</f>
        <v>157.54</v>
      </c>
    </row>
    <row r="62" spans="1:9" x14ac:dyDescent="0.25">
      <c r="A62" t="s">
        <v>189</v>
      </c>
      <c r="B62" s="186" t="s">
        <v>403</v>
      </c>
      <c r="C62" s="187">
        <v>50.22</v>
      </c>
      <c r="D62" s="187">
        <v>1592.68</v>
      </c>
      <c r="E62" s="187">
        <v>4702.5600000000004</v>
      </c>
      <c r="G62" s="186" t="s">
        <v>291</v>
      </c>
    </row>
    <row r="63" spans="1:9" x14ac:dyDescent="0.25">
      <c r="A63" s="185">
        <v>4222</v>
      </c>
      <c r="C63" s="187">
        <v>0</v>
      </c>
      <c r="D63" s="187">
        <v>0</v>
      </c>
      <c r="E63" s="187">
        <v>0</v>
      </c>
      <c r="F63" s="188">
        <v>0</v>
      </c>
      <c r="G63" s="186" t="s">
        <v>291</v>
      </c>
    </row>
    <row r="64" spans="1:9" x14ac:dyDescent="0.25">
      <c r="A64" s="185">
        <v>4223</v>
      </c>
      <c r="B64" s="186" t="s">
        <v>404</v>
      </c>
      <c r="C64" s="187">
        <v>0</v>
      </c>
      <c r="D64" s="187">
        <v>295.83999999999997</v>
      </c>
      <c r="E64" s="187">
        <v>1543.16</v>
      </c>
      <c r="F64" s="188">
        <v>0</v>
      </c>
      <c r="G64" s="186" t="s">
        <v>291</v>
      </c>
    </row>
    <row r="65" spans="1:7" x14ac:dyDescent="0.25">
      <c r="A65" t="s">
        <v>191</v>
      </c>
      <c r="B65" s="186" t="s">
        <v>405</v>
      </c>
      <c r="C65" s="187">
        <v>0</v>
      </c>
      <c r="D65" s="187">
        <v>2787.18</v>
      </c>
      <c r="E65" s="187">
        <v>1120.31</v>
      </c>
      <c r="G65" s="186" t="s">
        <v>291</v>
      </c>
    </row>
    <row r="66" spans="1:7" s="176" customFormat="1" x14ac:dyDescent="0.25">
      <c r="A66" s="181" t="s">
        <v>406</v>
      </c>
      <c r="B66" s="182" t="s">
        <v>407</v>
      </c>
      <c r="C66" s="183">
        <f>SUM(C67)</f>
        <v>0</v>
      </c>
      <c r="D66" s="183">
        <f>SUM(D67)</f>
        <v>2105.7600000000002</v>
      </c>
      <c r="E66" s="183">
        <f>SUM(E67)</f>
        <v>963.75</v>
      </c>
      <c r="F66" s="184"/>
      <c r="G66" s="184">
        <f>E66/D66*100</f>
        <v>45.77</v>
      </c>
    </row>
    <row r="67" spans="1:7" x14ac:dyDescent="0.25">
      <c r="A67" t="s">
        <v>192</v>
      </c>
      <c r="B67" s="186" t="s">
        <v>408</v>
      </c>
      <c r="C67" s="187">
        <v>0</v>
      </c>
      <c r="D67" s="187">
        <v>2105.7600000000002</v>
      </c>
      <c r="E67" s="187">
        <v>963.75</v>
      </c>
      <c r="G67" s="186" t="s">
        <v>291</v>
      </c>
    </row>
    <row r="68" spans="1:7" s="176" customFormat="1" x14ac:dyDescent="0.25">
      <c r="A68" s="177" t="s">
        <v>409</v>
      </c>
      <c r="B68" s="178" t="s">
        <v>410</v>
      </c>
      <c r="C68" s="179">
        <f>C69</f>
        <v>0</v>
      </c>
      <c r="D68" s="179">
        <f>D69</f>
        <v>0</v>
      </c>
      <c r="E68" s="179">
        <f>E69</f>
        <v>1125</v>
      </c>
      <c r="F68" s="180"/>
      <c r="G68" s="180"/>
    </row>
    <row r="69" spans="1:7" s="176" customFormat="1" x14ac:dyDescent="0.25">
      <c r="A69" s="181" t="s">
        <v>411</v>
      </c>
      <c r="B69" s="182" t="s">
        <v>412</v>
      </c>
      <c r="C69" s="183">
        <f>SUM(C70)</f>
        <v>0</v>
      </c>
      <c r="D69" s="183">
        <f>SUM(D70)</f>
        <v>0</v>
      </c>
      <c r="E69" s="183">
        <f>SUM(E70)</f>
        <v>1125</v>
      </c>
      <c r="F69" s="184"/>
      <c r="G69" s="184"/>
    </row>
    <row r="70" spans="1:7" x14ac:dyDescent="0.25">
      <c r="A70" t="s">
        <v>214</v>
      </c>
      <c r="B70" s="186" t="s">
        <v>412</v>
      </c>
      <c r="C70" s="187">
        <v>0</v>
      </c>
      <c r="D70" s="187">
        <v>0</v>
      </c>
      <c r="E70" s="187">
        <v>1125</v>
      </c>
      <c r="G70" s="186" t="s">
        <v>291</v>
      </c>
    </row>
    <row r="72" spans="1:7" x14ac:dyDescent="0.25">
      <c r="A72" t="s">
        <v>240</v>
      </c>
      <c r="C72" t="s">
        <v>242</v>
      </c>
      <c r="E72" t="s">
        <v>242</v>
      </c>
    </row>
    <row r="73" spans="1:7" x14ac:dyDescent="0.25">
      <c r="A73" t="s">
        <v>243</v>
      </c>
      <c r="C73" t="s">
        <v>245</v>
      </c>
      <c r="E73" t="s">
        <v>245</v>
      </c>
    </row>
    <row r="74" spans="1:7" x14ac:dyDescent="0.25">
      <c r="A74" t="s">
        <v>441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A54" sqref="A54"/>
    </sheetView>
  </sheetViews>
  <sheetFormatPr defaultRowHeight="15" x14ac:dyDescent="0.25"/>
  <cols>
    <col min="1" max="1" width="5.42578125" bestFit="1" customWidth="1"/>
    <col min="2" max="2" width="27.28515625" customWidth="1"/>
    <col min="3" max="3" width="16.5703125" customWidth="1"/>
    <col min="4" max="4" width="15.7109375" customWidth="1"/>
    <col min="5" max="5" width="16.85546875" style="41" customWidth="1"/>
    <col min="6" max="6" width="13.140625" style="41" customWidth="1"/>
    <col min="7" max="7" width="12.28515625" style="41" customWidth="1"/>
    <col min="8" max="8" width="11.7109375" bestFit="1" customWidth="1"/>
    <col min="9" max="9" width="11.7109375" hidden="1" customWidth="1"/>
    <col min="10" max="10" width="10.85546875" hidden="1" customWidth="1"/>
    <col min="11" max="11" width="11.7109375" hidden="1" customWidth="1"/>
    <col min="12" max="12" width="0" hidden="1" customWidth="1"/>
    <col min="13" max="13" width="11.140625" hidden="1" customWidth="1"/>
    <col min="14" max="14" width="0" hidden="1" customWidth="1"/>
    <col min="15" max="15" width="11.140625" hidden="1" customWidth="1"/>
    <col min="16" max="16" width="14" customWidth="1"/>
    <col min="17" max="17" width="29" customWidth="1"/>
  </cols>
  <sheetData>
    <row r="1" spans="1:17" x14ac:dyDescent="0.25">
      <c r="A1" s="243" t="s">
        <v>436</v>
      </c>
      <c r="B1" s="243"/>
      <c r="C1" s="243"/>
      <c r="D1" s="243"/>
      <c r="E1" s="243"/>
      <c r="F1" s="243"/>
      <c r="G1" s="243"/>
      <c r="H1" s="199"/>
      <c r="P1">
        <v>7.5345000000000004</v>
      </c>
    </row>
    <row r="2" spans="1:17" ht="18" x14ac:dyDescent="0.25">
      <c r="A2" s="27"/>
      <c r="B2" s="45"/>
      <c r="C2" s="27"/>
      <c r="D2" s="45"/>
      <c r="E2" s="45"/>
      <c r="F2" s="46"/>
      <c r="G2" s="46"/>
      <c r="I2" t="s">
        <v>171</v>
      </c>
      <c r="K2" t="s">
        <v>172</v>
      </c>
      <c r="M2" t="s">
        <v>232</v>
      </c>
    </row>
    <row r="3" spans="1:17" ht="27.75" customHeight="1" x14ac:dyDescent="0.25">
      <c r="A3" s="244" t="s">
        <v>413</v>
      </c>
      <c r="B3" s="245"/>
      <c r="C3" s="22" t="s">
        <v>414</v>
      </c>
      <c r="D3" s="23" t="s">
        <v>425</v>
      </c>
      <c r="E3" s="47" t="s">
        <v>426</v>
      </c>
      <c r="F3" s="47" t="s">
        <v>415</v>
      </c>
      <c r="G3" s="47" t="s">
        <v>416</v>
      </c>
    </row>
    <row r="4" spans="1:17" x14ac:dyDescent="0.25">
      <c r="A4" s="246">
        <v>1</v>
      </c>
      <c r="B4" s="247"/>
      <c r="C4" s="200">
        <v>2</v>
      </c>
      <c r="D4" s="200">
        <v>3</v>
      </c>
      <c r="E4" s="200">
        <v>4</v>
      </c>
      <c r="F4" s="200">
        <v>5</v>
      </c>
      <c r="G4" s="200">
        <v>6</v>
      </c>
    </row>
    <row r="5" spans="1:17" x14ac:dyDescent="0.25">
      <c r="A5" s="201" t="s">
        <v>170</v>
      </c>
      <c r="B5" s="202" t="s">
        <v>138</v>
      </c>
      <c r="C5" s="203"/>
      <c r="D5" s="203"/>
      <c r="E5" s="203"/>
      <c r="F5" s="203"/>
      <c r="G5" s="203"/>
    </row>
    <row r="6" spans="1:17" s="66" customFormat="1" ht="15.75" customHeight="1" x14ac:dyDescent="0.25">
      <c r="A6" s="204"/>
      <c r="B6" s="205" t="s">
        <v>17</v>
      </c>
      <c r="C6" s="217">
        <v>3187.54</v>
      </c>
      <c r="D6" s="217">
        <v>1000</v>
      </c>
      <c r="E6" s="217">
        <v>0</v>
      </c>
      <c r="F6" s="206">
        <f>E6/C6*100</f>
        <v>0</v>
      </c>
      <c r="G6" s="206">
        <f>E6/D6*100</f>
        <v>0</v>
      </c>
      <c r="I6" s="155">
        <f>E6+E42</f>
        <v>5534.56</v>
      </c>
      <c r="K6" s="155" t="e">
        <f>#REF!+#REF!</f>
        <v>#REF!</v>
      </c>
      <c r="M6" s="155" t="e">
        <f>K6-I6</f>
        <v>#REF!</v>
      </c>
    </row>
    <row r="7" spans="1:17" s="66" customFormat="1" ht="15.75" customHeight="1" x14ac:dyDescent="0.25">
      <c r="A7" s="204"/>
      <c r="B7" s="205" t="s">
        <v>22</v>
      </c>
      <c r="C7" s="217">
        <f>'POSEBNI DIO'!F487</f>
        <v>1567.39</v>
      </c>
      <c r="D7" s="218">
        <v>1000</v>
      </c>
      <c r="E7" s="206">
        <f>'POSEBNI DIO'!H487</f>
        <v>0</v>
      </c>
      <c r="F7" s="206">
        <f>E7/C7*100</f>
        <v>0</v>
      </c>
      <c r="G7" s="206">
        <f>E7/D7*100</f>
        <v>0</v>
      </c>
      <c r="I7" s="155"/>
      <c r="P7" s="155">
        <f>E10+E14+E18+E22</f>
        <v>107707.35</v>
      </c>
      <c r="Q7" s="155"/>
    </row>
    <row r="8" spans="1:17" s="66" customFormat="1" ht="15.75" customHeight="1" x14ac:dyDescent="0.25">
      <c r="A8" s="204"/>
      <c r="B8" s="205" t="s">
        <v>417</v>
      </c>
      <c r="C8" s="206">
        <f>C6-C7</f>
        <v>1620.15</v>
      </c>
      <c r="D8" s="206">
        <f t="shared" ref="D8:E8" si="0">D6-D7</f>
        <v>0</v>
      </c>
      <c r="E8" s="206">
        <f t="shared" si="0"/>
        <v>0</v>
      </c>
      <c r="F8" s="206"/>
      <c r="G8" s="206"/>
      <c r="I8" s="155"/>
      <c r="P8" s="155">
        <f>P7-107707.35</f>
        <v>0</v>
      </c>
    </row>
    <row r="9" spans="1:17" x14ac:dyDescent="0.25">
      <c r="A9" s="201" t="s">
        <v>428</v>
      </c>
      <c r="B9" s="202" t="s">
        <v>267</v>
      </c>
      <c r="C9" s="203"/>
      <c r="D9" s="203"/>
      <c r="E9" s="203"/>
      <c r="F9" s="203"/>
      <c r="G9" s="203"/>
    </row>
    <row r="10" spans="1:17" s="66" customFormat="1" ht="15.75" customHeight="1" x14ac:dyDescent="0.25">
      <c r="A10" s="204"/>
      <c r="B10" s="205" t="s">
        <v>17</v>
      </c>
      <c r="C10" s="217">
        <v>0</v>
      </c>
      <c r="D10" s="217">
        <v>3312.5</v>
      </c>
      <c r="E10" s="217">
        <f>'POSEBNI DIO'!H496</f>
        <v>3312.5</v>
      </c>
      <c r="F10" s="206" t="e">
        <f>E10/C10*100</f>
        <v>#DIV/0!</v>
      </c>
      <c r="G10" s="206">
        <f>E10/D10*100</f>
        <v>100</v>
      </c>
      <c r="I10" s="155">
        <f>E10+E46</f>
        <v>925770.82</v>
      </c>
      <c r="K10" s="155" t="e">
        <f>#REF!+#REF!</f>
        <v>#REF!</v>
      </c>
      <c r="M10" s="155" t="e">
        <f>K10-I10</f>
        <v>#REF!</v>
      </c>
    </row>
    <row r="11" spans="1:17" s="66" customFormat="1" ht="15.75" customHeight="1" x14ac:dyDescent="0.25">
      <c r="A11" s="204"/>
      <c r="B11" s="205" t="s">
        <v>22</v>
      </c>
      <c r="C11" s="217">
        <v>0</v>
      </c>
      <c r="D11" s="217">
        <v>3312.5</v>
      </c>
      <c r="E11" s="206">
        <v>3312.5</v>
      </c>
      <c r="F11" s="206" t="e">
        <f>E11/C11*100</f>
        <v>#DIV/0!</v>
      </c>
      <c r="G11" s="206">
        <f>E11/D11*100</f>
        <v>100</v>
      </c>
      <c r="I11" s="155"/>
      <c r="P11" s="155"/>
      <c r="Q11" s="155"/>
    </row>
    <row r="12" spans="1:17" s="66" customFormat="1" ht="15.75" customHeight="1" x14ac:dyDescent="0.25">
      <c r="A12" s="204"/>
      <c r="B12" s="205" t="s">
        <v>417</v>
      </c>
      <c r="C12" s="206">
        <f>C10-C11</f>
        <v>0</v>
      </c>
      <c r="D12" s="206">
        <f t="shared" ref="D12:E12" si="1">D10-D11</f>
        <v>0</v>
      </c>
      <c r="E12" s="206">
        <f t="shared" si="1"/>
        <v>0</v>
      </c>
      <c r="F12" s="206"/>
      <c r="G12" s="206"/>
      <c r="I12" s="155"/>
    </row>
    <row r="13" spans="1:17" x14ac:dyDescent="0.25">
      <c r="A13" s="201" t="s">
        <v>50</v>
      </c>
      <c r="B13" s="202" t="s">
        <v>18</v>
      </c>
      <c r="C13" s="203"/>
      <c r="D13" s="203"/>
      <c r="E13" s="203"/>
      <c r="F13" s="203"/>
      <c r="G13" s="203"/>
    </row>
    <row r="14" spans="1:17" s="66" customFormat="1" ht="15.75" customHeight="1" x14ac:dyDescent="0.25">
      <c r="A14" s="204"/>
      <c r="B14" s="205" t="s">
        <v>17</v>
      </c>
      <c r="C14" s="217">
        <v>5216.66</v>
      </c>
      <c r="D14" s="217">
        <f>D15</f>
        <v>49009.5</v>
      </c>
      <c r="E14" s="217">
        <f>'POSEBNI DIO'!H489-'POSEBNI DIO'!H67+666</f>
        <v>28103.72</v>
      </c>
      <c r="F14" s="206">
        <f>E14/C14*100</f>
        <v>538.73</v>
      </c>
      <c r="G14" s="206">
        <f t="shared" ref="G14:G15" si="2">E14/D14*100</f>
        <v>57.34</v>
      </c>
      <c r="I14" s="155" t="e">
        <f>E14+#REF!</f>
        <v>#REF!</v>
      </c>
      <c r="K14" s="155" t="e">
        <f>E49+#REF!</f>
        <v>#REF!</v>
      </c>
      <c r="M14" s="155" t="e">
        <f>K14-I14</f>
        <v>#REF!</v>
      </c>
    </row>
    <row r="15" spans="1:17" s="66" customFormat="1" ht="15.75" customHeight="1" x14ac:dyDescent="0.25">
      <c r="A15" s="204"/>
      <c r="B15" s="205" t="s">
        <v>22</v>
      </c>
      <c r="C15" s="217">
        <f>'POSEBNI DIO'!F489</f>
        <v>7918.47</v>
      </c>
      <c r="D15" s="206">
        <f>'POSEBNI DIO'!G489</f>
        <v>49009.5</v>
      </c>
      <c r="E15" s="206">
        <f>'POSEBNI DIO'!H489</f>
        <v>27759.82</v>
      </c>
      <c r="F15" s="206">
        <f>E15/C15*100</f>
        <v>350.57</v>
      </c>
      <c r="G15" s="206">
        <f t="shared" si="2"/>
        <v>56.64</v>
      </c>
      <c r="I15" s="155"/>
    </row>
    <row r="16" spans="1:17" s="66" customFormat="1" ht="15.75" customHeight="1" x14ac:dyDescent="0.25">
      <c r="A16" s="204"/>
      <c r="B16" s="205" t="s">
        <v>417</v>
      </c>
      <c r="C16" s="206">
        <f>C14-C15</f>
        <v>-2701.81</v>
      </c>
      <c r="D16" s="206">
        <f t="shared" ref="D16:E16" si="3">D14-D15</f>
        <v>0</v>
      </c>
      <c r="E16" s="206">
        <f t="shared" si="3"/>
        <v>343.9</v>
      </c>
      <c r="F16" s="206"/>
      <c r="G16" s="206"/>
      <c r="I16" s="155"/>
    </row>
    <row r="17" spans="1:13" s="208" customFormat="1" x14ac:dyDescent="0.25">
      <c r="A17" s="201" t="s">
        <v>155</v>
      </c>
      <c r="B17" s="202" t="s">
        <v>156</v>
      </c>
      <c r="C17" s="207"/>
      <c r="D17" s="203"/>
      <c r="E17" s="203"/>
      <c r="F17" s="203"/>
      <c r="G17" s="203"/>
      <c r="I17" s="209"/>
    </row>
    <row r="18" spans="1:13" s="210" customFormat="1" ht="15.75" customHeight="1" x14ac:dyDescent="0.25">
      <c r="A18" s="204"/>
      <c r="B18" s="205" t="s">
        <v>17</v>
      </c>
      <c r="C18" s="217">
        <v>21592.28</v>
      </c>
      <c r="D18" s="206">
        <f>D19</f>
        <v>56996</v>
      </c>
      <c r="E18" s="206">
        <f>'POSEBNI DIO'!H488</f>
        <v>40488.5</v>
      </c>
      <c r="F18" s="206">
        <f>E18/C18*100</f>
        <v>187.51</v>
      </c>
      <c r="G18" s="206">
        <f>E18/D18*100</f>
        <v>71.040000000000006</v>
      </c>
      <c r="I18" s="211"/>
      <c r="K18" s="211"/>
      <c r="M18" s="211"/>
    </row>
    <row r="19" spans="1:13" s="210" customFormat="1" ht="15.75" customHeight="1" x14ac:dyDescent="0.25">
      <c r="A19" s="204"/>
      <c r="B19" s="205" t="s">
        <v>22</v>
      </c>
      <c r="C19" s="217">
        <f>'POSEBNI DIO'!F488</f>
        <v>21592.28</v>
      </c>
      <c r="D19" s="206">
        <f>'POSEBNI DIO'!G488</f>
        <v>56996</v>
      </c>
      <c r="E19" s="206">
        <f>'POSEBNI DIO'!H488</f>
        <v>40488.5</v>
      </c>
      <c r="F19" s="206">
        <f>E19/C19*100</f>
        <v>187.51</v>
      </c>
      <c r="G19" s="206">
        <f>E19/D19*100</f>
        <v>71.040000000000006</v>
      </c>
      <c r="I19" s="211"/>
    </row>
    <row r="20" spans="1:13" s="210" customFormat="1" ht="15.75" customHeight="1" x14ac:dyDescent="0.25">
      <c r="A20" s="204"/>
      <c r="B20" s="205" t="s">
        <v>417</v>
      </c>
      <c r="C20" s="206">
        <f>C18-C19</f>
        <v>0</v>
      </c>
      <c r="D20" s="206">
        <f t="shared" ref="D20:E20" si="4">D18-D19</f>
        <v>0</v>
      </c>
      <c r="E20" s="206">
        <f t="shared" si="4"/>
        <v>0</v>
      </c>
      <c r="F20" s="206"/>
      <c r="G20" s="206"/>
      <c r="H20" s="41"/>
      <c r="I20" s="211"/>
    </row>
    <row r="21" spans="1:13" ht="25.5" x14ac:dyDescent="0.25">
      <c r="A21" s="201" t="s">
        <v>215</v>
      </c>
      <c r="B21" s="202" t="s">
        <v>130</v>
      </c>
      <c r="C21" s="203"/>
      <c r="D21" s="203"/>
      <c r="E21" s="203"/>
      <c r="F21" s="203"/>
      <c r="G21" s="203"/>
      <c r="H21" s="41"/>
    </row>
    <row r="22" spans="1:13" s="66" customFormat="1" ht="15.75" customHeight="1" x14ac:dyDescent="0.25">
      <c r="A22" s="204"/>
      <c r="B22" s="205" t="s">
        <v>17</v>
      </c>
      <c r="C22" s="217">
        <v>22050.67</v>
      </c>
      <c r="D22" s="217">
        <v>69204.03</v>
      </c>
      <c r="E22" s="206">
        <f>'POSEBNI DIO'!H490</f>
        <v>35802.629999999997</v>
      </c>
      <c r="F22" s="206">
        <f>E22/C22*100</f>
        <v>162.37</v>
      </c>
      <c r="G22" s="206">
        <f t="shared" ref="G22:G23" si="5">E22/D22*100</f>
        <v>51.73</v>
      </c>
      <c r="H22" s="41"/>
      <c r="I22" s="155"/>
      <c r="K22" s="155"/>
      <c r="M22" s="155"/>
    </row>
    <row r="23" spans="1:13" s="66" customFormat="1" ht="15.75" customHeight="1" x14ac:dyDescent="0.25">
      <c r="A23" s="204"/>
      <c r="B23" s="205" t="s">
        <v>22</v>
      </c>
      <c r="C23" s="217">
        <f>'POSEBNI DIO'!F490</f>
        <v>22050.67</v>
      </c>
      <c r="D23" s="206">
        <f>'POSEBNI DIO'!G490</f>
        <v>69204.03</v>
      </c>
      <c r="E23" s="206">
        <f>'POSEBNI DIO'!H490</f>
        <v>35802.629999999997</v>
      </c>
      <c r="F23" s="206">
        <f>E23/C23*100</f>
        <v>162.37</v>
      </c>
      <c r="G23" s="206">
        <f t="shared" si="5"/>
        <v>51.73</v>
      </c>
      <c r="I23" s="155"/>
    </row>
    <row r="24" spans="1:13" s="66" customFormat="1" ht="15.75" customHeight="1" x14ac:dyDescent="0.25">
      <c r="A24" s="204"/>
      <c r="B24" s="205" t="s">
        <v>417</v>
      </c>
      <c r="C24" s="206">
        <f>C22-C23</f>
        <v>0</v>
      </c>
      <c r="D24" s="206">
        <f t="shared" ref="D24" si="6">D22-D23</f>
        <v>0</v>
      </c>
      <c r="E24" s="206">
        <f>E22-E23</f>
        <v>0</v>
      </c>
      <c r="F24" s="206"/>
      <c r="G24" s="206"/>
      <c r="I24" s="155"/>
    </row>
    <row r="25" spans="1:13" x14ac:dyDescent="0.25">
      <c r="A25" s="212" t="s">
        <v>51</v>
      </c>
      <c r="B25" s="212" t="s">
        <v>40</v>
      </c>
      <c r="C25" s="213"/>
      <c r="D25" s="214"/>
      <c r="E25" s="214"/>
      <c r="F25" s="214"/>
      <c r="G25" s="214"/>
    </row>
    <row r="26" spans="1:13" s="66" customFormat="1" ht="15.75" customHeight="1" x14ac:dyDescent="0.25">
      <c r="A26" s="204"/>
      <c r="B26" s="205" t="s">
        <v>17</v>
      </c>
      <c r="C26" s="217">
        <v>511.1</v>
      </c>
      <c r="D26" s="217">
        <f>7562.06</f>
        <v>7562.06</v>
      </c>
      <c r="E26" s="206">
        <f>2501.71</f>
        <v>2501.71</v>
      </c>
      <c r="F26" s="206">
        <f>E26/C26*100</f>
        <v>489.48</v>
      </c>
      <c r="G26" s="206">
        <f t="shared" ref="G26:G27" si="7">E26/D26*100</f>
        <v>33.08</v>
      </c>
      <c r="I26" s="155"/>
      <c r="K26" s="155"/>
      <c r="M26" s="155"/>
    </row>
    <row r="27" spans="1:13" s="66" customFormat="1" ht="15.75" customHeight="1" x14ac:dyDescent="0.25">
      <c r="A27" s="204"/>
      <c r="B27" s="205" t="s">
        <v>22</v>
      </c>
      <c r="C27" s="206">
        <f>'POSEBNI DIO'!F491</f>
        <v>595.95000000000005</v>
      </c>
      <c r="D27" s="206">
        <f>'POSEBNI DIO'!G491</f>
        <v>7562.06</v>
      </c>
      <c r="E27" s="206">
        <f>'POSEBNI DIO'!H491</f>
        <v>1324.11</v>
      </c>
      <c r="F27" s="206">
        <f>E27/C27*100</f>
        <v>222.18</v>
      </c>
      <c r="G27" s="206">
        <f t="shared" si="7"/>
        <v>17.510000000000002</v>
      </c>
      <c r="I27" s="155"/>
    </row>
    <row r="28" spans="1:13" s="66" customFormat="1" ht="15.75" customHeight="1" x14ac:dyDescent="0.25">
      <c r="A28" s="204"/>
      <c r="B28" s="205" t="s">
        <v>417</v>
      </c>
      <c r="C28" s="206">
        <f>C26-C27</f>
        <v>-84.85</v>
      </c>
      <c r="D28" s="206">
        <f t="shared" ref="D28" si="8">D26-D27</f>
        <v>0</v>
      </c>
      <c r="E28" s="206">
        <f>E26-E27</f>
        <v>1177.5999999999999</v>
      </c>
      <c r="F28" s="206"/>
      <c r="G28" s="206"/>
      <c r="I28" s="155"/>
    </row>
    <row r="29" spans="1:13" x14ac:dyDescent="0.25">
      <c r="A29" s="212" t="s">
        <v>158</v>
      </c>
      <c r="B29" s="212" t="s">
        <v>418</v>
      </c>
      <c r="C29" s="213"/>
      <c r="D29" s="214"/>
      <c r="E29" s="214"/>
      <c r="F29" s="214"/>
      <c r="G29" s="214"/>
    </row>
    <row r="30" spans="1:13" s="66" customFormat="1" ht="15.75" customHeight="1" x14ac:dyDescent="0.25">
      <c r="A30" s="204"/>
      <c r="B30" s="205" t="s">
        <v>17</v>
      </c>
      <c r="C30" s="206">
        <v>0</v>
      </c>
      <c r="D30" s="206">
        <v>0</v>
      </c>
      <c r="E30" s="206">
        <v>0</v>
      </c>
      <c r="F30" s="206">
        <v>0</v>
      </c>
      <c r="G30" s="206" t="e">
        <f t="shared" ref="G30:G31" si="9">E30/D30*100</f>
        <v>#DIV/0!</v>
      </c>
      <c r="I30" s="155"/>
      <c r="K30" s="155"/>
      <c r="M30" s="155"/>
    </row>
    <row r="31" spans="1:13" s="66" customFormat="1" ht="15.75" customHeight="1" x14ac:dyDescent="0.25">
      <c r="A31" s="204"/>
      <c r="B31" s="205" t="s">
        <v>22</v>
      </c>
      <c r="C31" s="206">
        <v>0</v>
      </c>
      <c r="D31" s="206">
        <v>0</v>
      </c>
      <c r="E31" s="206">
        <v>0</v>
      </c>
      <c r="F31" s="206">
        <v>0</v>
      </c>
      <c r="G31" s="206" t="e">
        <f t="shared" si="9"/>
        <v>#DIV/0!</v>
      </c>
      <c r="I31" s="155"/>
    </row>
    <row r="32" spans="1:13" s="66" customFormat="1" ht="15.75" customHeight="1" x14ac:dyDescent="0.25">
      <c r="A32" s="204"/>
      <c r="B32" s="205" t="s">
        <v>417</v>
      </c>
      <c r="C32" s="206">
        <f>C30-C31</f>
        <v>0</v>
      </c>
      <c r="D32" s="206">
        <f t="shared" ref="D32:E32" si="10">D30-D31</f>
        <v>0</v>
      </c>
      <c r="E32" s="206">
        <f t="shared" si="10"/>
        <v>0</v>
      </c>
      <c r="F32" s="206"/>
      <c r="G32" s="206"/>
      <c r="I32" s="155"/>
    </row>
    <row r="33" spans="1:13" x14ac:dyDescent="0.25">
      <c r="A33" s="212" t="s">
        <v>160</v>
      </c>
      <c r="B33" s="212" t="s">
        <v>47</v>
      </c>
      <c r="C33" s="213"/>
      <c r="D33" s="214"/>
      <c r="E33" s="214"/>
      <c r="F33" s="214"/>
      <c r="G33" s="214"/>
    </row>
    <row r="34" spans="1:13" s="210" customFormat="1" ht="15.75" customHeight="1" x14ac:dyDescent="0.25">
      <c r="A34" s="204"/>
      <c r="B34" s="205" t="s">
        <v>17</v>
      </c>
      <c r="C34" s="217">
        <v>14420.31</v>
      </c>
      <c r="D34" s="217">
        <v>21460</v>
      </c>
      <c r="E34" s="206">
        <v>12349.87</v>
      </c>
      <c r="F34" s="206">
        <f>E34/C34*100</f>
        <v>85.64</v>
      </c>
      <c r="G34" s="206">
        <f t="shared" ref="G34:G35" si="11">E34/D34*100</f>
        <v>57.55</v>
      </c>
      <c r="I34" s="211"/>
      <c r="K34" s="211"/>
      <c r="M34" s="211"/>
    </row>
    <row r="35" spans="1:13" s="210" customFormat="1" ht="15.75" customHeight="1" x14ac:dyDescent="0.25">
      <c r="A35" s="204"/>
      <c r="B35" s="205" t="s">
        <v>22</v>
      </c>
      <c r="C35" s="206">
        <f>'POSEBNI DIO'!F493</f>
        <v>10481.81</v>
      </c>
      <c r="D35" s="206">
        <f>'POSEBNI DIO'!G493</f>
        <v>21460</v>
      </c>
      <c r="E35" s="206">
        <f>'POSEBNI DIO'!H493</f>
        <v>9036.25</v>
      </c>
      <c r="F35" s="206">
        <f>E35/C35*100</f>
        <v>86.21</v>
      </c>
      <c r="G35" s="206">
        <f t="shared" si="11"/>
        <v>42.11</v>
      </c>
      <c r="I35" s="211"/>
    </row>
    <row r="36" spans="1:13" s="210" customFormat="1" ht="15.75" customHeight="1" x14ac:dyDescent="0.25">
      <c r="A36" s="204"/>
      <c r="B36" s="205" t="s">
        <v>417</v>
      </c>
      <c r="C36" s="206">
        <f>C34-C35</f>
        <v>3938.5</v>
      </c>
      <c r="D36" s="206">
        <f t="shared" ref="D36:E36" si="12">D34-D35</f>
        <v>0</v>
      </c>
      <c r="E36" s="206">
        <f t="shared" si="12"/>
        <v>3313.62</v>
      </c>
      <c r="F36" s="206"/>
      <c r="G36" s="206"/>
      <c r="I36" s="211"/>
    </row>
    <row r="37" spans="1:13" x14ac:dyDescent="0.25">
      <c r="A37" s="212" t="s">
        <v>52</v>
      </c>
      <c r="B37" s="212" t="s">
        <v>145</v>
      </c>
      <c r="C37" s="213"/>
      <c r="D37" s="214"/>
      <c r="E37" s="214"/>
      <c r="F37" s="214"/>
      <c r="G37" s="214"/>
    </row>
    <row r="38" spans="1:13" s="210" customFormat="1" ht="15.75" customHeight="1" x14ac:dyDescent="0.25">
      <c r="A38" s="204"/>
      <c r="B38" s="205" t="s">
        <v>17</v>
      </c>
      <c r="C38" s="217">
        <v>628380.96</v>
      </c>
      <c r="D38" s="217">
        <v>1753393.35</v>
      </c>
      <c r="E38" s="206">
        <v>796161.71</v>
      </c>
      <c r="F38" s="206">
        <f>E38/C38*100</f>
        <v>126.7</v>
      </c>
      <c r="G38" s="206">
        <f t="shared" ref="G38:G39" si="13">E38/D38*100</f>
        <v>45.41</v>
      </c>
      <c r="I38" s="211"/>
      <c r="K38" s="211"/>
      <c r="M38" s="211"/>
    </row>
    <row r="39" spans="1:13" s="210" customFormat="1" ht="15.75" customHeight="1" x14ac:dyDescent="0.25">
      <c r="A39" s="204"/>
      <c r="B39" s="205" t="s">
        <v>22</v>
      </c>
      <c r="C39" s="206">
        <f>'POSEBNI DIO'!F494</f>
        <v>634354.96</v>
      </c>
      <c r="D39" s="206">
        <f>'POSEBNI DIO'!G494</f>
        <v>1753393.35</v>
      </c>
      <c r="E39" s="206">
        <f>'POSEBNI DIO'!H494</f>
        <v>798899.95</v>
      </c>
      <c r="F39" s="206">
        <f>E39/C39*100</f>
        <v>125.94</v>
      </c>
      <c r="G39" s="206">
        <f t="shared" si="13"/>
        <v>45.56</v>
      </c>
      <c r="I39" s="211"/>
    </row>
    <row r="40" spans="1:13" s="210" customFormat="1" ht="15.75" customHeight="1" x14ac:dyDescent="0.25">
      <c r="A40" s="204"/>
      <c r="B40" s="205" t="s">
        <v>417</v>
      </c>
      <c r="C40" s="206">
        <f>C38-C39</f>
        <v>-5974</v>
      </c>
      <c r="D40" s="206">
        <f t="shared" ref="D40" si="14">D38-D39</f>
        <v>0</v>
      </c>
      <c r="E40" s="206">
        <f>E38-E39</f>
        <v>-2738.24</v>
      </c>
      <c r="F40" s="206"/>
      <c r="G40" s="206"/>
      <c r="I40" s="211"/>
    </row>
    <row r="41" spans="1:13" x14ac:dyDescent="0.25">
      <c r="A41" s="212" t="s">
        <v>217</v>
      </c>
      <c r="B41" s="212" t="s">
        <v>146</v>
      </c>
      <c r="C41" s="213"/>
      <c r="D41" s="214"/>
      <c r="E41" s="214"/>
      <c r="F41" s="214"/>
      <c r="G41" s="214"/>
    </row>
    <row r="42" spans="1:13" s="210" customFormat="1" ht="15.75" customHeight="1" x14ac:dyDescent="0.25">
      <c r="A42" s="204"/>
      <c r="B42" s="205" t="s">
        <v>17</v>
      </c>
      <c r="C42" s="217">
        <v>300</v>
      </c>
      <c r="D42" s="217">
        <v>5800</v>
      </c>
      <c r="E42" s="206">
        <v>5534.56</v>
      </c>
      <c r="F42" s="206">
        <f>E42/C42*100</f>
        <v>1844.85</v>
      </c>
      <c r="G42" s="206">
        <f t="shared" ref="G42:G43" si="15">E42/D42*100</f>
        <v>95.42</v>
      </c>
      <c r="I42" s="211"/>
      <c r="K42" s="211"/>
      <c r="M42" s="211"/>
    </row>
    <row r="43" spans="1:13" s="210" customFormat="1" ht="15.75" customHeight="1" x14ac:dyDescent="0.25">
      <c r="A43" s="204"/>
      <c r="B43" s="205" t="s">
        <v>22</v>
      </c>
      <c r="C43" s="206">
        <f>'POSEBNI DIO'!F495</f>
        <v>0</v>
      </c>
      <c r="D43" s="206">
        <f>'POSEBNI DIO'!G495</f>
        <v>5800</v>
      </c>
      <c r="E43" s="206">
        <f>'POSEBNI DIO'!H495</f>
        <v>5834.56</v>
      </c>
      <c r="F43" s="206" t="e">
        <f>E43/C43*100</f>
        <v>#DIV/0!</v>
      </c>
      <c r="G43" s="206">
        <f t="shared" si="15"/>
        <v>100.6</v>
      </c>
      <c r="I43" s="211"/>
    </row>
    <row r="44" spans="1:13" s="210" customFormat="1" ht="15.75" customHeight="1" x14ac:dyDescent="0.25">
      <c r="A44" s="204"/>
      <c r="B44" s="205" t="s">
        <v>417</v>
      </c>
      <c r="C44" s="206">
        <f>C42-C43</f>
        <v>300</v>
      </c>
      <c r="D44" s="206">
        <f t="shared" ref="D44" si="16">D42-D43</f>
        <v>0</v>
      </c>
      <c r="E44" s="206">
        <f>E42-E43</f>
        <v>-300</v>
      </c>
      <c r="F44" s="206"/>
      <c r="G44" s="206"/>
      <c r="I44" s="211"/>
    </row>
    <row r="45" spans="1:13" s="210" customFormat="1" ht="15.75" customHeight="1" x14ac:dyDescent="0.25">
      <c r="A45" s="215"/>
      <c r="B45" s="215" t="s">
        <v>419</v>
      </c>
      <c r="C45" s="216">
        <f t="shared" ref="C45:E46" si="17">C6+C10+C14+C18+C22+C26+C30+C34+C38+C42</f>
        <v>695659.52000000002</v>
      </c>
      <c r="D45" s="216">
        <f t="shared" si="17"/>
        <v>1967737.44</v>
      </c>
      <c r="E45" s="216">
        <f t="shared" si="17"/>
        <v>924255.2</v>
      </c>
      <c r="F45" s="216"/>
      <c r="G45" s="216"/>
      <c r="H45" s="211">
        <f>924255.2-E45</f>
        <v>0</v>
      </c>
      <c r="I45" s="211"/>
      <c r="K45" s="211"/>
      <c r="M45" s="211"/>
    </row>
    <row r="46" spans="1:13" s="210" customFormat="1" ht="15.75" customHeight="1" x14ac:dyDescent="0.25">
      <c r="A46" s="215"/>
      <c r="B46" s="215" t="s">
        <v>420</v>
      </c>
      <c r="C46" s="216">
        <f t="shared" si="17"/>
        <v>698561.53</v>
      </c>
      <c r="D46" s="216">
        <f t="shared" si="17"/>
        <v>1967737.44</v>
      </c>
      <c r="E46" s="216">
        <f t="shared" si="17"/>
        <v>922458.32</v>
      </c>
      <c r="F46" s="216"/>
      <c r="G46" s="216"/>
      <c r="H46" s="211"/>
      <c r="I46" s="211"/>
    </row>
    <row r="47" spans="1:13" s="210" customFormat="1" ht="28.5" customHeight="1" x14ac:dyDescent="0.25">
      <c r="A47" s="215"/>
      <c r="B47" s="215" t="s">
        <v>421</v>
      </c>
      <c r="C47" s="216">
        <f>C45-C46</f>
        <v>-2902.01</v>
      </c>
      <c r="D47" s="216">
        <f t="shared" ref="D47" si="18">D45-D46</f>
        <v>0</v>
      </c>
      <c r="E47" s="216">
        <f>E45-E46</f>
        <v>1796.88</v>
      </c>
      <c r="F47" s="216"/>
      <c r="G47" s="216"/>
      <c r="I47" s="211"/>
    </row>
    <row r="49" spans="1:7" ht="15.75" x14ac:dyDescent="0.25">
      <c r="A49" s="248"/>
      <c r="B49" s="248"/>
      <c r="C49" s="248"/>
      <c r="D49" s="248"/>
      <c r="E49" s="248"/>
      <c r="F49" s="248"/>
      <c r="G49" s="248"/>
    </row>
    <row r="50" spans="1:7" ht="18" x14ac:dyDescent="0.25">
      <c r="A50" s="27"/>
      <c r="B50" s="27"/>
      <c r="C50" s="27"/>
      <c r="D50" s="27"/>
      <c r="E50" s="45"/>
      <c r="F50" s="46"/>
      <c r="G50" s="46"/>
    </row>
    <row r="52" spans="1:7" x14ac:dyDescent="0.25">
      <c r="A52" t="s">
        <v>240</v>
      </c>
      <c r="C52" t="s">
        <v>241</v>
      </c>
      <c r="F52" s="41" t="s">
        <v>242</v>
      </c>
    </row>
    <row r="53" spans="1:7" x14ac:dyDescent="0.25">
      <c r="A53" t="s">
        <v>243</v>
      </c>
      <c r="C53" t="s">
        <v>244</v>
      </c>
      <c r="F53" s="41" t="s">
        <v>245</v>
      </c>
    </row>
    <row r="54" spans="1:7" x14ac:dyDescent="0.25">
      <c r="A54" t="s">
        <v>441</v>
      </c>
    </row>
    <row r="55" spans="1:7" x14ac:dyDescent="0.25">
      <c r="C55" s="41"/>
    </row>
    <row r="56" spans="1:7" x14ac:dyDescent="0.25">
      <c r="C56" s="41"/>
    </row>
  </sheetData>
  <mergeCells count="4">
    <mergeCell ref="A1:G1"/>
    <mergeCell ref="A3:B3"/>
    <mergeCell ref="A4:B4"/>
    <mergeCell ref="A49:G4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69"/>
  <sheetViews>
    <sheetView tabSelected="1" view="pageBreakPreview" zoomScaleNormal="100" zoomScaleSheetLayoutView="100" workbookViewId="0">
      <pane ySplit="5" topLeftCell="A440" activePane="bottomLeft" state="frozen"/>
      <selection pane="bottomLeft" activeCell="H25" sqref="H25"/>
    </sheetView>
  </sheetViews>
  <sheetFormatPr defaultRowHeight="15" x14ac:dyDescent="0.25"/>
  <cols>
    <col min="1" max="1" width="7.42578125" style="82" customWidth="1"/>
    <col min="2" max="2" width="8.42578125" style="82" customWidth="1"/>
    <col min="3" max="3" width="8.7109375" style="82" customWidth="1"/>
    <col min="4" max="4" width="34.28515625" style="82" customWidth="1"/>
    <col min="5" max="5" width="23.42578125" style="127" hidden="1" customWidth="1"/>
    <col min="6" max="6" width="22.7109375" style="82" customWidth="1"/>
    <col min="7" max="7" width="21.42578125" style="82" customWidth="1"/>
    <col min="8" max="8" width="21.7109375" style="148" customWidth="1"/>
    <col min="9" max="9" width="21.42578125" style="82" customWidth="1"/>
    <col min="11" max="11" width="11.7109375" customWidth="1"/>
    <col min="12" max="12" width="14.7109375" customWidth="1"/>
    <col min="13" max="13" width="14.85546875" customWidth="1"/>
    <col min="14" max="15" width="9.140625" customWidth="1"/>
  </cols>
  <sheetData>
    <row r="1" spans="1:17" ht="42" customHeight="1" x14ac:dyDescent="0.25">
      <c r="A1" s="270" t="s">
        <v>265</v>
      </c>
      <c r="B1" s="270"/>
      <c r="C1" s="270"/>
      <c r="D1" s="270"/>
      <c r="E1" s="270"/>
      <c r="F1" s="270"/>
      <c r="G1" s="270"/>
      <c r="H1" s="270"/>
      <c r="I1" s="270"/>
      <c r="K1" s="40">
        <v>7.5345000000000004</v>
      </c>
    </row>
    <row r="2" spans="1:17" ht="18" x14ac:dyDescent="0.25">
      <c r="A2" s="71"/>
      <c r="B2" s="71"/>
      <c r="C2" s="71"/>
      <c r="D2" s="71"/>
      <c r="E2" s="132"/>
      <c r="F2" s="286">
        <v>698561.55</v>
      </c>
      <c r="G2" s="286">
        <v>1967737.44</v>
      </c>
      <c r="H2" s="286">
        <v>922458.32</v>
      </c>
      <c r="I2" s="72"/>
    </row>
    <row r="3" spans="1:17" ht="18" customHeight="1" x14ac:dyDescent="0.25">
      <c r="A3" s="270" t="s">
        <v>32</v>
      </c>
      <c r="B3" s="271"/>
      <c r="C3" s="271"/>
      <c r="D3" s="271"/>
      <c r="E3" s="271"/>
      <c r="F3" s="271"/>
      <c r="G3" s="271"/>
      <c r="H3" s="271"/>
      <c r="I3" s="271"/>
      <c r="K3" s="41">
        <v>1325588.23</v>
      </c>
      <c r="M3">
        <v>1321606.55</v>
      </c>
    </row>
    <row r="4" spans="1:17" ht="18" x14ac:dyDescent="0.25">
      <c r="A4" s="71"/>
      <c r="B4" s="71"/>
      <c r="C4" s="71"/>
      <c r="D4" s="73" t="s">
        <v>231</v>
      </c>
      <c r="E4" s="132" t="e">
        <f>E6+E13+E25+E66+E221+E247+E259</f>
        <v>#DIV/0!</v>
      </c>
      <c r="F4" s="74">
        <f>F6+F13+F25+F66+F221+F247+F259</f>
        <v>698561.55</v>
      </c>
      <c r="G4" s="74">
        <f>G6+G13+G25+G66+G221+G247+G259</f>
        <v>1967737.44</v>
      </c>
      <c r="H4" s="74">
        <f>H6+H13+H25+H66+H221+H247+H259</f>
        <v>922458.32</v>
      </c>
      <c r="I4" s="74">
        <f>I6+I13+I25+I66+I221+I247+I259</f>
        <v>326.14</v>
      </c>
      <c r="K4" s="41">
        <f>922458.32-H4</f>
        <v>0</v>
      </c>
    </row>
    <row r="5" spans="1:17" ht="25.5" x14ac:dyDescent="0.25">
      <c r="A5" s="272" t="s">
        <v>34</v>
      </c>
      <c r="B5" s="273"/>
      <c r="C5" s="274"/>
      <c r="D5" s="75" t="s">
        <v>35</v>
      </c>
      <c r="E5" s="133" t="s">
        <v>246</v>
      </c>
      <c r="F5" s="86" t="s">
        <v>271</v>
      </c>
      <c r="G5" s="109" t="s">
        <v>253</v>
      </c>
      <c r="H5" s="109" t="s">
        <v>266</v>
      </c>
      <c r="I5" s="23" t="s">
        <v>443</v>
      </c>
      <c r="J5" s="160" t="s">
        <v>277</v>
      </c>
      <c r="K5" s="41">
        <f>H6+H13+H25+H66+H221+H247</f>
        <v>107363.45</v>
      </c>
      <c r="N5" s="66"/>
    </row>
    <row r="6" spans="1:17" ht="24" customHeight="1" x14ac:dyDescent="0.25">
      <c r="A6" s="275" t="s">
        <v>120</v>
      </c>
      <c r="B6" s="276"/>
      <c r="C6" s="277"/>
      <c r="D6" s="110" t="s">
        <v>134</v>
      </c>
      <c r="E6" s="134">
        <f>E7</f>
        <v>3098.03</v>
      </c>
      <c r="F6" s="87">
        <f t="shared" ref="F6:I6" si="0">F7</f>
        <v>1567.39</v>
      </c>
      <c r="G6" s="87">
        <f t="shared" si="0"/>
        <v>1000</v>
      </c>
      <c r="H6" s="87">
        <f t="shared" si="0"/>
        <v>0</v>
      </c>
      <c r="I6" s="87">
        <f t="shared" ref="I6:I10" si="1">H6/G6*100</f>
        <v>0</v>
      </c>
      <c r="L6" s="66"/>
      <c r="M6" s="66"/>
      <c r="N6" s="66"/>
      <c r="O6" s="66"/>
      <c r="P6" s="66"/>
      <c r="Q6" s="66"/>
    </row>
    <row r="7" spans="1:17" ht="30" customHeight="1" x14ac:dyDescent="0.25">
      <c r="A7" s="261" t="s">
        <v>135</v>
      </c>
      <c r="B7" s="262"/>
      <c r="C7" s="263"/>
      <c r="D7" s="111" t="s">
        <v>136</v>
      </c>
      <c r="E7" s="135">
        <f>E8</f>
        <v>3098.03</v>
      </c>
      <c r="F7" s="88">
        <f t="shared" ref="F7:I7" si="2">F8</f>
        <v>1567.39</v>
      </c>
      <c r="G7" s="88">
        <f t="shared" si="2"/>
        <v>1000</v>
      </c>
      <c r="H7" s="88">
        <f t="shared" si="2"/>
        <v>0</v>
      </c>
      <c r="I7" s="88">
        <f t="shared" si="1"/>
        <v>0</v>
      </c>
      <c r="L7" s="41">
        <f>1967737.44-G4</f>
        <v>0</v>
      </c>
    </row>
    <row r="8" spans="1:17" ht="15" customHeight="1" x14ac:dyDescent="0.25">
      <c r="A8" s="252" t="s">
        <v>137</v>
      </c>
      <c r="B8" s="253"/>
      <c r="C8" s="254"/>
      <c r="D8" s="103" t="s">
        <v>138</v>
      </c>
      <c r="E8" s="136">
        <f>E9</f>
        <v>3098.03</v>
      </c>
      <c r="F8" s="89">
        <f t="shared" ref="F8:I8" si="3">F9</f>
        <v>1567.39</v>
      </c>
      <c r="G8" s="89">
        <f t="shared" si="3"/>
        <v>1000</v>
      </c>
      <c r="H8" s="89">
        <f t="shared" si="3"/>
        <v>0</v>
      </c>
      <c r="I8" s="89">
        <f t="shared" si="1"/>
        <v>0</v>
      </c>
    </row>
    <row r="9" spans="1:17" x14ac:dyDescent="0.25">
      <c r="A9" s="255">
        <v>3</v>
      </c>
      <c r="B9" s="256"/>
      <c r="C9" s="257"/>
      <c r="D9" s="112" t="s">
        <v>22</v>
      </c>
      <c r="E9" s="137">
        <f>E10</f>
        <v>3098.03</v>
      </c>
      <c r="F9" s="90">
        <f t="shared" ref="F9:I9" si="4">F10</f>
        <v>1567.39</v>
      </c>
      <c r="G9" s="90">
        <f t="shared" si="4"/>
        <v>1000</v>
      </c>
      <c r="H9" s="90">
        <f t="shared" si="4"/>
        <v>0</v>
      </c>
      <c r="I9" s="90">
        <f t="shared" si="1"/>
        <v>0</v>
      </c>
    </row>
    <row r="10" spans="1:17" ht="26.25" x14ac:dyDescent="0.25">
      <c r="A10" s="258">
        <v>37</v>
      </c>
      <c r="B10" s="259"/>
      <c r="C10" s="260"/>
      <c r="D10" s="113" t="s">
        <v>139</v>
      </c>
      <c r="E10" s="138">
        <f>E12</f>
        <v>3098.03</v>
      </c>
      <c r="F10" s="91">
        <f t="shared" ref="F10:I10" si="5">F12</f>
        <v>1567.39</v>
      </c>
      <c r="G10" s="91">
        <f t="shared" si="5"/>
        <v>1000</v>
      </c>
      <c r="H10" s="91">
        <f t="shared" si="5"/>
        <v>0</v>
      </c>
      <c r="I10" s="91">
        <f t="shared" si="1"/>
        <v>0</v>
      </c>
    </row>
    <row r="11" spans="1:17" x14ac:dyDescent="0.25">
      <c r="A11" s="281" t="s">
        <v>391</v>
      </c>
      <c r="B11" s="282"/>
      <c r="C11" s="283"/>
      <c r="D11" s="284" t="s">
        <v>453</v>
      </c>
      <c r="E11" s="285" t="e">
        <f>SUM(E13:E34)</f>
        <v>#DIV/0!</v>
      </c>
      <c r="F11" s="285">
        <f>F12</f>
        <v>1567.39</v>
      </c>
      <c r="G11" s="285">
        <f t="shared" ref="G11" si="6">G12</f>
        <v>1000</v>
      </c>
      <c r="H11" s="285">
        <f t="shared" ref="H11" si="7">H12</f>
        <v>0</v>
      </c>
      <c r="I11" s="285">
        <f t="shared" ref="I11:I17" si="8">H11/G11*100</f>
        <v>0</v>
      </c>
    </row>
    <row r="12" spans="1:17" ht="25.5" x14ac:dyDescent="0.25">
      <c r="A12" s="249" t="s">
        <v>209</v>
      </c>
      <c r="B12" s="250"/>
      <c r="C12" s="251"/>
      <c r="D12" s="114" t="s">
        <v>139</v>
      </c>
      <c r="E12" s="139">
        <f>23342.1/K1</f>
        <v>3098.03</v>
      </c>
      <c r="F12" s="92">
        <v>1567.39</v>
      </c>
      <c r="G12" s="100">
        <v>1000</v>
      </c>
      <c r="H12" s="100">
        <v>0</v>
      </c>
      <c r="I12" s="108"/>
    </row>
    <row r="13" spans="1:17" x14ac:dyDescent="0.25">
      <c r="A13" s="267" t="s">
        <v>120</v>
      </c>
      <c r="B13" s="268"/>
      <c r="C13" s="269"/>
      <c r="D13" s="115" t="s">
        <v>90</v>
      </c>
      <c r="E13" s="140">
        <f>E14</f>
        <v>29858.48</v>
      </c>
      <c r="F13" s="94">
        <f t="shared" ref="F13:I13" si="9">F14</f>
        <v>0</v>
      </c>
      <c r="G13" s="94">
        <f>G14</f>
        <v>18287.5</v>
      </c>
      <c r="H13" s="94">
        <f t="shared" si="9"/>
        <v>18287.5</v>
      </c>
      <c r="I13" s="94">
        <f t="shared" si="8"/>
        <v>100</v>
      </c>
      <c r="L13" s="66"/>
      <c r="M13" s="66"/>
      <c r="N13" s="66"/>
      <c r="O13" s="66"/>
      <c r="P13" s="66"/>
      <c r="Q13" s="66"/>
    </row>
    <row r="14" spans="1:17" ht="35.25" customHeight="1" x14ac:dyDescent="0.25">
      <c r="A14" s="261" t="s">
        <v>53</v>
      </c>
      <c r="B14" s="262"/>
      <c r="C14" s="263"/>
      <c r="D14" s="111" t="s">
        <v>54</v>
      </c>
      <c r="E14" s="135">
        <f>E15</f>
        <v>29858.48</v>
      </c>
      <c r="F14" s="88">
        <f t="shared" ref="F14:I14" si="10">F15+F20</f>
        <v>0</v>
      </c>
      <c r="G14" s="88">
        <f t="shared" si="10"/>
        <v>18287.5</v>
      </c>
      <c r="H14" s="88">
        <f>H15+H20</f>
        <v>18287.5</v>
      </c>
      <c r="I14" s="88">
        <f t="shared" si="8"/>
        <v>100</v>
      </c>
    </row>
    <row r="15" spans="1:17" ht="15" customHeight="1" x14ac:dyDescent="0.25">
      <c r="A15" s="252" t="s">
        <v>124</v>
      </c>
      <c r="B15" s="253"/>
      <c r="C15" s="254"/>
      <c r="D15" s="103" t="s">
        <v>18</v>
      </c>
      <c r="E15" s="136">
        <f>E16</f>
        <v>29858.48</v>
      </c>
      <c r="F15" s="89">
        <f t="shared" ref="F15:I15" si="11">F16</f>
        <v>0</v>
      </c>
      <c r="G15" s="89">
        <f t="shared" si="11"/>
        <v>14975</v>
      </c>
      <c r="H15" s="89">
        <f t="shared" si="11"/>
        <v>14975</v>
      </c>
      <c r="I15" s="89">
        <f t="shared" si="8"/>
        <v>100</v>
      </c>
    </row>
    <row r="16" spans="1:17" ht="25.5" x14ac:dyDescent="0.25">
      <c r="A16" s="255">
        <v>4</v>
      </c>
      <c r="B16" s="256"/>
      <c r="C16" s="257"/>
      <c r="D16" s="112" t="s">
        <v>24</v>
      </c>
      <c r="E16" s="137">
        <f>E17</f>
        <v>29858.48</v>
      </c>
      <c r="F16" s="90">
        <f t="shared" ref="F16:I16" si="12">F17</f>
        <v>0</v>
      </c>
      <c r="G16" s="90">
        <f t="shared" si="12"/>
        <v>14975</v>
      </c>
      <c r="H16" s="90">
        <f t="shared" si="12"/>
        <v>14975</v>
      </c>
      <c r="I16" s="90">
        <f t="shared" si="8"/>
        <v>100</v>
      </c>
    </row>
    <row r="17" spans="1:17" ht="25.5" x14ac:dyDescent="0.25">
      <c r="A17" s="258">
        <v>42</v>
      </c>
      <c r="B17" s="259"/>
      <c r="C17" s="260"/>
      <c r="D17" s="116" t="s">
        <v>211</v>
      </c>
      <c r="E17" s="138">
        <f>E19</f>
        <v>29858.48</v>
      </c>
      <c r="F17" s="91">
        <f t="shared" ref="F17:I17" si="13">F19</f>
        <v>0</v>
      </c>
      <c r="G17" s="91">
        <f t="shared" si="13"/>
        <v>14975</v>
      </c>
      <c r="H17" s="91">
        <f t="shared" si="13"/>
        <v>14975</v>
      </c>
      <c r="I17" s="91">
        <f t="shared" si="8"/>
        <v>100</v>
      </c>
    </row>
    <row r="18" spans="1:17" x14ac:dyDescent="0.25">
      <c r="A18" s="281" t="s">
        <v>398</v>
      </c>
      <c r="B18" s="282"/>
      <c r="C18" s="283"/>
      <c r="D18" s="284" t="s">
        <v>445</v>
      </c>
      <c r="E18" s="285" t="e">
        <f>SUM(E20:E41)</f>
        <v>#DIV/0!</v>
      </c>
      <c r="F18" s="285">
        <f>F19</f>
        <v>0</v>
      </c>
      <c r="G18" s="285">
        <f t="shared" ref="G18:H18" si="14">G19</f>
        <v>14975</v>
      </c>
      <c r="H18" s="285">
        <f t="shared" si="14"/>
        <v>14975</v>
      </c>
      <c r="I18" s="285">
        <f t="shared" ref="I18" si="15">H18/G18*100</f>
        <v>100</v>
      </c>
    </row>
    <row r="19" spans="1:17" x14ac:dyDescent="0.25">
      <c r="A19" s="249" t="s">
        <v>212</v>
      </c>
      <c r="B19" s="250"/>
      <c r="C19" s="251"/>
      <c r="D19" s="114" t="s">
        <v>105</v>
      </c>
      <c r="E19" s="139">
        <f>224968.75/K1</f>
        <v>29858.48</v>
      </c>
      <c r="F19" s="100">
        <v>0</v>
      </c>
      <c r="G19" s="77">
        <v>14975</v>
      </c>
      <c r="H19" s="77">
        <v>14975</v>
      </c>
      <c r="I19" s="78"/>
    </row>
    <row r="20" spans="1:17" ht="15" customHeight="1" x14ac:dyDescent="0.25">
      <c r="A20" s="252" t="s">
        <v>427</v>
      </c>
      <c r="B20" s="253"/>
      <c r="C20" s="254"/>
      <c r="D20" s="103" t="s">
        <v>267</v>
      </c>
      <c r="E20" s="136">
        <f>E21</f>
        <v>2.1</v>
      </c>
      <c r="F20" s="89">
        <f t="shared" ref="F20:I21" si="16">F21</f>
        <v>0</v>
      </c>
      <c r="G20" s="89">
        <f t="shared" si="16"/>
        <v>3312.5</v>
      </c>
      <c r="H20" s="89">
        <f t="shared" si="16"/>
        <v>3312.5</v>
      </c>
      <c r="I20" s="89">
        <f t="shared" ref="I20:I23" si="17">H20/G20*100</f>
        <v>100</v>
      </c>
    </row>
    <row r="21" spans="1:17" ht="25.5" x14ac:dyDescent="0.25">
      <c r="A21" s="255">
        <v>4</v>
      </c>
      <c r="B21" s="256"/>
      <c r="C21" s="257"/>
      <c r="D21" s="126" t="s">
        <v>24</v>
      </c>
      <c r="E21" s="137">
        <f>E22</f>
        <v>2.1</v>
      </c>
      <c r="F21" s="90">
        <f t="shared" si="16"/>
        <v>0</v>
      </c>
      <c r="G21" s="90">
        <f t="shared" si="16"/>
        <v>3312.5</v>
      </c>
      <c r="H21" s="90">
        <f t="shared" si="16"/>
        <v>3312.5</v>
      </c>
      <c r="I21" s="90">
        <f t="shared" si="17"/>
        <v>100</v>
      </c>
    </row>
    <row r="22" spans="1:17" ht="25.5" x14ac:dyDescent="0.25">
      <c r="A22" s="258">
        <v>42</v>
      </c>
      <c r="B22" s="259"/>
      <c r="C22" s="260"/>
      <c r="D22" s="116" t="s">
        <v>211</v>
      </c>
      <c r="E22" s="138">
        <f>E24</f>
        <v>2.1</v>
      </c>
      <c r="F22" s="91">
        <f>F24</f>
        <v>0</v>
      </c>
      <c r="G22" s="91">
        <f>G24</f>
        <v>3312.5</v>
      </c>
      <c r="H22" s="91">
        <f>H24</f>
        <v>3312.5</v>
      </c>
      <c r="I22" s="91">
        <f t="shared" si="17"/>
        <v>100</v>
      </c>
    </row>
    <row r="23" spans="1:17" x14ac:dyDescent="0.25">
      <c r="A23" s="281" t="s">
        <v>398</v>
      </c>
      <c r="B23" s="282"/>
      <c r="C23" s="283"/>
      <c r="D23" s="284" t="s">
        <v>445</v>
      </c>
      <c r="E23" s="285" t="e">
        <f>SUM(E25:E46)</f>
        <v>#DIV/0!</v>
      </c>
      <c r="F23" s="285">
        <f>F24</f>
        <v>0</v>
      </c>
      <c r="G23" s="285">
        <f t="shared" ref="G23" si="18">G24</f>
        <v>3312.5</v>
      </c>
      <c r="H23" s="285">
        <f t="shared" ref="H23" si="19">H24</f>
        <v>3312.5</v>
      </c>
      <c r="I23" s="285">
        <f t="shared" si="17"/>
        <v>100</v>
      </c>
    </row>
    <row r="24" spans="1:17" x14ac:dyDescent="0.25">
      <c r="A24" s="249" t="s">
        <v>212</v>
      </c>
      <c r="B24" s="250"/>
      <c r="C24" s="251"/>
      <c r="D24" s="114" t="s">
        <v>105</v>
      </c>
      <c r="E24" s="139">
        <f>224968.75/K5</f>
        <v>2.1</v>
      </c>
      <c r="F24" s="100">
        <v>0</v>
      </c>
      <c r="G24" s="77">
        <v>3312.5</v>
      </c>
      <c r="H24" s="77">
        <v>3312.5</v>
      </c>
      <c r="I24" s="78"/>
    </row>
    <row r="25" spans="1:17" ht="36" x14ac:dyDescent="0.25">
      <c r="A25" s="267" t="s">
        <v>120</v>
      </c>
      <c r="B25" s="268"/>
      <c r="C25" s="269"/>
      <c r="D25" s="115" t="s">
        <v>55</v>
      </c>
      <c r="E25" s="140" t="e">
        <f>E26+E55</f>
        <v>#DIV/0!</v>
      </c>
      <c r="F25" s="94">
        <f t="shared" ref="F25:I25" si="20">F26+F55</f>
        <v>21592.28</v>
      </c>
      <c r="G25" s="94">
        <f t="shared" si="20"/>
        <v>56996</v>
      </c>
      <c r="H25" s="94">
        <f t="shared" si="20"/>
        <v>40488.5</v>
      </c>
      <c r="I25" s="94">
        <f t="shared" ref="I25:I30" si="21">H25/G25*100</f>
        <v>71.040000000000006</v>
      </c>
      <c r="L25" s="66"/>
      <c r="M25" s="66"/>
      <c r="N25" s="66"/>
      <c r="O25" s="66"/>
      <c r="P25" s="66"/>
      <c r="Q25" s="66"/>
    </row>
    <row r="26" spans="1:17" ht="15" customHeight="1" x14ac:dyDescent="0.25">
      <c r="A26" s="261" t="s">
        <v>117</v>
      </c>
      <c r="B26" s="262"/>
      <c r="C26" s="263"/>
      <c r="D26" s="111" t="s">
        <v>57</v>
      </c>
      <c r="E26" s="135" t="e">
        <f>E27</f>
        <v>#DIV/0!</v>
      </c>
      <c r="F26" s="88">
        <f t="shared" ref="F26:I26" si="22">F27</f>
        <v>16691.77</v>
      </c>
      <c r="G26" s="88">
        <f t="shared" si="22"/>
        <v>48499</v>
      </c>
      <c r="H26" s="88">
        <f t="shared" si="22"/>
        <v>37473.629999999997</v>
      </c>
      <c r="I26" s="88">
        <f t="shared" si="21"/>
        <v>77.27</v>
      </c>
    </row>
    <row r="27" spans="1:17" ht="15" customHeight="1" x14ac:dyDescent="0.25">
      <c r="A27" s="252" t="s">
        <v>118</v>
      </c>
      <c r="B27" s="253"/>
      <c r="C27" s="254"/>
      <c r="D27" s="103" t="s">
        <v>119</v>
      </c>
      <c r="E27" s="136" t="e">
        <f>E28</f>
        <v>#DIV/0!</v>
      </c>
      <c r="F27" s="89">
        <f t="shared" ref="F27:I27" si="23">F28</f>
        <v>16691.77</v>
      </c>
      <c r="G27" s="89">
        <f t="shared" si="23"/>
        <v>48499</v>
      </c>
      <c r="H27" s="89">
        <f t="shared" si="23"/>
        <v>37473.629999999997</v>
      </c>
      <c r="I27" s="89">
        <f t="shared" si="21"/>
        <v>77.27</v>
      </c>
    </row>
    <row r="28" spans="1:17" x14ac:dyDescent="0.25">
      <c r="A28" s="255">
        <v>3</v>
      </c>
      <c r="B28" s="256"/>
      <c r="C28" s="257"/>
      <c r="D28" s="112" t="s">
        <v>22</v>
      </c>
      <c r="E28" s="137" t="e">
        <f>E29+E52</f>
        <v>#DIV/0!</v>
      </c>
      <c r="F28" s="90">
        <f t="shared" ref="F28:I28" si="24">F29+F52</f>
        <v>16691.77</v>
      </c>
      <c r="G28" s="90">
        <f t="shared" si="24"/>
        <v>48499</v>
      </c>
      <c r="H28" s="90">
        <f t="shared" si="24"/>
        <v>37473.629999999997</v>
      </c>
      <c r="I28" s="90">
        <f t="shared" si="21"/>
        <v>77.27</v>
      </c>
    </row>
    <row r="29" spans="1:17" x14ac:dyDescent="0.25">
      <c r="A29" s="258">
        <v>32</v>
      </c>
      <c r="B29" s="259"/>
      <c r="C29" s="260"/>
      <c r="D29" s="116" t="s">
        <v>36</v>
      </c>
      <c r="E29" s="138" t="e">
        <f>SUM(E31:E51)</f>
        <v>#DIV/0!</v>
      </c>
      <c r="F29" s="91">
        <f>F30+F38+F47</f>
        <v>16206.32</v>
      </c>
      <c r="G29" s="91">
        <f>G30+G38+G47</f>
        <v>47549</v>
      </c>
      <c r="H29" s="91">
        <f>H30+H38+H47</f>
        <v>36979.449999999997</v>
      </c>
      <c r="I29" s="91">
        <f t="shared" si="21"/>
        <v>77.77</v>
      </c>
    </row>
    <row r="30" spans="1:17" x14ac:dyDescent="0.25">
      <c r="A30" s="281">
        <v>322</v>
      </c>
      <c r="B30" s="282"/>
      <c r="C30" s="283"/>
      <c r="D30" s="284" t="s">
        <v>36</v>
      </c>
      <c r="E30" s="285" t="e">
        <f>SUM(E32:E52)</f>
        <v>#DIV/0!</v>
      </c>
      <c r="F30" s="285">
        <f t="shared" ref="F30" si="25">SUM(F31:F37)</f>
        <v>10218.57</v>
      </c>
      <c r="G30" s="285">
        <f>SUM(G31:G37)</f>
        <v>27519</v>
      </c>
      <c r="H30" s="285">
        <f>SUM(H31:H37)</f>
        <v>24090.17</v>
      </c>
      <c r="I30" s="285">
        <f t="shared" si="21"/>
        <v>87.54</v>
      </c>
    </row>
    <row r="31" spans="1:17" x14ac:dyDescent="0.25">
      <c r="A31" s="249">
        <v>3211</v>
      </c>
      <c r="B31" s="250"/>
      <c r="C31" s="251"/>
      <c r="D31" s="114" t="s">
        <v>58</v>
      </c>
      <c r="E31" s="139">
        <f>33066.4/K1</f>
        <v>4388.67</v>
      </c>
      <c r="F31" s="100">
        <v>3050.36</v>
      </c>
      <c r="G31" s="100">
        <v>4400</v>
      </c>
      <c r="H31" s="100">
        <v>4103.87</v>
      </c>
      <c r="I31" s="100"/>
    </row>
    <row r="32" spans="1:17" x14ac:dyDescent="0.25">
      <c r="A32" s="249">
        <v>3213</v>
      </c>
      <c r="B32" s="250">
        <v>3213</v>
      </c>
      <c r="C32" s="251">
        <v>3213</v>
      </c>
      <c r="D32" s="114" t="s">
        <v>59</v>
      </c>
      <c r="E32" s="139">
        <f>4133.5/K1</f>
        <v>548.61</v>
      </c>
      <c r="F32" s="100">
        <v>293.68</v>
      </c>
      <c r="G32" s="100">
        <v>900</v>
      </c>
      <c r="H32" s="100">
        <v>330</v>
      </c>
      <c r="I32" s="100"/>
    </row>
    <row r="33" spans="1:9" x14ac:dyDescent="0.25">
      <c r="A33" s="249" t="s">
        <v>204</v>
      </c>
      <c r="B33" s="250">
        <v>3213</v>
      </c>
      <c r="C33" s="251">
        <v>3213</v>
      </c>
      <c r="D33" s="114" t="s">
        <v>205</v>
      </c>
      <c r="E33" s="139">
        <v>0</v>
      </c>
      <c r="F33" s="100">
        <v>0</v>
      </c>
      <c r="G33" s="100">
        <v>1000</v>
      </c>
      <c r="H33" s="100">
        <v>852.54</v>
      </c>
      <c r="I33" s="100"/>
    </row>
    <row r="34" spans="1:9" x14ac:dyDescent="0.25">
      <c r="A34" s="249">
        <v>3221</v>
      </c>
      <c r="B34" s="250">
        <v>3221</v>
      </c>
      <c r="C34" s="251">
        <v>3221</v>
      </c>
      <c r="D34" s="114" t="s">
        <v>60</v>
      </c>
      <c r="E34" s="139">
        <f>63505/K1</f>
        <v>8428.56</v>
      </c>
      <c r="F34" s="100">
        <v>1205.6500000000001</v>
      </c>
      <c r="G34" s="100">
        <v>7501</v>
      </c>
      <c r="H34" s="100">
        <v>5729.9</v>
      </c>
      <c r="I34" s="100"/>
    </row>
    <row r="35" spans="1:9" x14ac:dyDescent="0.25">
      <c r="A35" s="249">
        <v>3223</v>
      </c>
      <c r="B35" s="250">
        <v>3223</v>
      </c>
      <c r="C35" s="251">
        <v>3223</v>
      </c>
      <c r="D35" s="114" t="s">
        <v>61</v>
      </c>
      <c r="E35" s="139">
        <f>110613/K1-0.02</f>
        <v>14680.85</v>
      </c>
      <c r="F35" s="100">
        <v>5208.88</v>
      </c>
      <c r="G35" s="100">
        <v>12418</v>
      </c>
      <c r="H35" s="100">
        <v>12411.09</v>
      </c>
      <c r="I35" s="100"/>
    </row>
    <row r="36" spans="1:9" x14ac:dyDescent="0.25">
      <c r="A36" s="249">
        <v>3225</v>
      </c>
      <c r="B36" s="250">
        <v>3225</v>
      </c>
      <c r="C36" s="251">
        <v>3225</v>
      </c>
      <c r="D36" s="114" t="s">
        <v>62</v>
      </c>
      <c r="E36" s="139">
        <f>2576/K1</f>
        <v>341.89</v>
      </c>
      <c r="F36" s="100">
        <v>460</v>
      </c>
      <c r="G36" s="100">
        <v>500</v>
      </c>
      <c r="H36" s="100">
        <v>85.03</v>
      </c>
      <c r="I36" s="100"/>
    </row>
    <row r="37" spans="1:9" x14ac:dyDescent="0.25">
      <c r="A37" s="249">
        <v>3227</v>
      </c>
      <c r="B37" s="250">
        <v>3227</v>
      </c>
      <c r="C37" s="251">
        <v>3227</v>
      </c>
      <c r="D37" s="114" t="s">
        <v>63</v>
      </c>
      <c r="E37" s="139">
        <f>1656.9/K1</f>
        <v>219.91</v>
      </c>
      <c r="F37" s="100">
        <v>0</v>
      </c>
      <c r="G37" s="100">
        <v>800</v>
      </c>
      <c r="H37" s="100">
        <v>577.74</v>
      </c>
      <c r="I37" s="100"/>
    </row>
    <row r="38" spans="1:9" x14ac:dyDescent="0.25">
      <c r="A38" s="281" t="s">
        <v>360</v>
      </c>
      <c r="B38" s="282"/>
      <c r="C38" s="283"/>
      <c r="D38" s="284" t="s">
        <v>444</v>
      </c>
      <c r="E38" s="285" t="e">
        <f>SUM(E40:E62)</f>
        <v>#DIV/0!</v>
      </c>
      <c r="F38" s="285">
        <f>SUM(F39:F46)</f>
        <v>5670.99</v>
      </c>
      <c r="G38" s="285">
        <f>SUM(G39:G46)</f>
        <v>19010</v>
      </c>
      <c r="H38" s="285">
        <f>SUM(H39:H46)</f>
        <v>12249.48</v>
      </c>
      <c r="I38" s="285">
        <f t="shared" ref="I38" si="26">H38/G38*100</f>
        <v>64.44</v>
      </c>
    </row>
    <row r="39" spans="1:9" x14ac:dyDescent="0.25">
      <c r="A39" s="249">
        <v>3231</v>
      </c>
      <c r="B39" s="250">
        <v>3231</v>
      </c>
      <c r="C39" s="251">
        <v>3231</v>
      </c>
      <c r="D39" s="114" t="s">
        <v>64</v>
      </c>
      <c r="E39" s="139">
        <f>16604.44/K1</f>
        <v>2203.79</v>
      </c>
      <c r="F39" s="100">
        <v>1251</v>
      </c>
      <c r="G39" s="100">
        <v>2400</v>
      </c>
      <c r="H39" s="100">
        <v>1229.54</v>
      </c>
      <c r="I39" s="100"/>
    </row>
    <row r="40" spans="1:9" x14ac:dyDescent="0.25">
      <c r="A40" s="249">
        <v>3233</v>
      </c>
      <c r="B40" s="250">
        <v>3233</v>
      </c>
      <c r="C40" s="251">
        <v>3233</v>
      </c>
      <c r="D40" s="114" t="s">
        <v>65</v>
      </c>
      <c r="E40" s="139">
        <v>0</v>
      </c>
      <c r="F40" s="100">
        <v>0</v>
      </c>
      <c r="G40" s="100">
        <v>10</v>
      </c>
      <c r="H40" s="100">
        <v>0</v>
      </c>
      <c r="I40" s="100"/>
    </row>
    <row r="41" spans="1:9" x14ac:dyDescent="0.25">
      <c r="A41" s="249">
        <v>3234</v>
      </c>
      <c r="B41" s="250">
        <v>3234</v>
      </c>
      <c r="C41" s="251">
        <v>3234</v>
      </c>
      <c r="D41" s="114" t="s">
        <v>66</v>
      </c>
      <c r="E41" s="139">
        <f>30629.86/K1</f>
        <v>4065.28</v>
      </c>
      <c r="F41" s="100">
        <v>2267.9499999999998</v>
      </c>
      <c r="G41" s="100">
        <v>3700</v>
      </c>
      <c r="H41" s="100">
        <v>2064.7600000000002</v>
      </c>
      <c r="I41" s="100"/>
    </row>
    <row r="42" spans="1:9" x14ac:dyDescent="0.25">
      <c r="A42" s="249">
        <v>3235</v>
      </c>
      <c r="B42" s="250">
        <v>3235</v>
      </c>
      <c r="C42" s="251">
        <v>3235</v>
      </c>
      <c r="D42" s="114" t="s">
        <v>67</v>
      </c>
      <c r="E42" s="139">
        <f>6881.64/K1</f>
        <v>913.35</v>
      </c>
      <c r="F42" s="100">
        <v>426</v>
      </c>
      <c r="G42" s="100">
        <v>5500</v>
      </c>
      <c r="H42" s="100">
        <v>3737.49</v>
      </c>
      <c r="I42" s="100"/>
    </row>
    <row r="43" spans="1:9" x14ac:dyDescent="0.25">
      <c r="A43" s="249">
        <v>3236</v>
      </c>
      <c r="B43" s="250">
        <v>3236</v>
      </c>
      <c r="C43" s="251">
        <v>3236</v>
      </c>
      <c r="D43" s="114" t="s">
        <v>68</v>
      </c>
      <c r="E43" s="139">
        <f>20950.66/K1</f>
        <v>2780.63</v>
      </c>
      <c r="F43" s="100">
        <v>257.33</v>
      </c>
      <c r="G43" s="100">
        <v>4200</v>
      </c>
      <c r="H43" s="100">
        <v>3805.73</v>
      </c>
      <c r="I43" s="100"/>
    </row>
    <row r="44" spans="1:9" x14ac:dyDescent="0.25">
      <c r="A44" s="249">
        <v>3237</v>
      </c>
      <c r="B44" s="250">
        <v>3237</v>
      </c>
      <c r="C44" s="251">
        <v>3237</v>
      </c>
      <c r="D44" s="114" t="s">
        <v>69</v>
      </c>
      <c r="E44" s="139">
        <f>5712.5/K1</f>
        <v>758.18</v>
      </c>
      <c r="F44" s="100">
        <v>62.21</v>
      </c>
      <c r="G44" s="100">
        <v>400</v>
      </c>
      <c r="H44" s="100">
        <v>62.5</v>
      </c>
      <c r="I44" s="100"/>
    </row>
    <row r="45" spans="1:9" x14ac:dyDescent="0.25">
      <c r="A45" s="249">
        <v>3238</v>
      </c>
      <c r="B45" s="250">
        <v>3238</v>
      </c>
      <c r="C45" s="251">
        <v>3238</v>
      </c>
      <c r="D45" s="114" t="s">
        <v>70</v>
      </c>
      <c r="E45" s="139">
        <f>12350/K1</f>
        <v>1639.13</v>
      </c>
      <c r="F45" s="100">
        <v>1156.5</v>
      </c>
      <c r="G45" s="100">
        <v>2400</v>
      </c>
      <c r="H45" s="100">
        <v>1024.46</v>
      </c>
      <c r="I45" s="100"/>
    </row>
    <row r="46" spans="1:9" x14ac:dyDescent="0.25">
      <c r="A46" s="249">
        <v>3239</v>
      </c>
      <c r="B46" s="250">
        <v>3239</v>
      </c>
      <c r="C46" s="251">
        <v>3239</v>
      </c>
      <c r="D46" s="114" t="s">
        <v>71</v>
      </c>
      <c r="E46" s="139">
        <f>600/K1</f>
        <v>79.63</v>
      </c>
      <c r="F46" s="100">
        <v>250</v>
      </c>
      <c r="G46" s="100">
        <v>400</v>
      </c>
      <c r="H46" s="100">
        <v>325</v>
      </c>
      <c r="I46" s="100"/>
    </row>
    <row r="47" spans="1:9" x14ac:dyDescent="0.25">
      <c r="A47" s="281" t="s">
        <v>376</v>
      </c>
      <c r="B47" s="282"/>
      <c r="C47" s="283"/>
      <c r="D47" s="284" t="s">
        <v>101</v>
      </c>
      <c r="E47" s="285" t="e">
        <f>SUM(E49:E72)</f>
        <v>#DIV/0!</v>
      </c>
      <c r="F47" s="285">
        <f>SUM(F48:F51)</f>
        <v>316.76</v>
      </c>
      <c r="G47" s="285">
        <f t="shared" ref="G47:I47" si="27">SUM(G48:G51)</f>
        <v>1020</v>
      </c>
      <c r="H47" s="285">
        <f t="shared" si="27"/>
        <v>639.79999999999995</v>
      </c>
      <c r="I47" s="285">
        <f t="shared" ref="I47" si="28">H47/G47*100</f>
        <v>62.73</v>
      </c>
    </row>
    <row r="48" spans="1:9" x14ac:dyDescent="0.25">
      <c r="A48" s="249">
        <v>3293</v>
      </c>
      <c r="B48" s="250">
        <v>3293</v>
      </c>
      <c r="C48" s="251">
        <v>3293</v>
      </c>
      <c r="D48" s="114" t="s">
        <v>72</v>
      </c>
      <c r="E48" s="139">
        <f>2824.79/K1</f>
        <v>374.91</v>
      </c>
      <c r="F48" s="100">
        <v>105.67</v>
      </c>
      <c r="G48" s="100">
        <v>390</v>
      </c>
      <c r="H48" s="100">
        <v>217.3</v>
      </c>
      <c r="I48" s="100"/>
    </row>
    <row r="49" spans="1:9" x14ac:dyDescent="0.25">
      <c r="A49" s="249">
        <v>3294</v>
      </c>
      <c r="B49" s="250">
        <v>3294</v>
      </c>
      <c r="C49" s="251">
        <v>3294</v>
      </c>
      <c r="D49" s="114" t="s">
        <v>73</v>
      </c>
      <c r="E49" s="139">
        <f>1200/K1</f>
        <v>159.27000000000001</v>
      </c>
      <c r="F49" s="100">
        <v>108.09</v>
      </c>
      <c r="G49" s="100">
        <v>200</v>
      </c>
      <c r="H49" s="100">
        <v>143.09</v>
      </c>
      <c r="I49" s="100"/>
    </row>
    <row r="50" spans="1:9" x14ac:dyDescent="0.25">
      <c r="A50" s="249">
        <v>3295</v>
      </c>
      <c r="B50" s="250">
        <v>3295</v>
      </c>
      <c r="C50" s="251">
        <v>3295</v>
      </c>
      <c r="D50" s="114" t="s">
        <v>74</v>
      </c>
      <c r="E50" s="139">
        <v>0</v>
      </c>
      <c r="F50" s="100">
        <v>103</v>
      </c>
      <c r="G50" s="100">
        <v>130</v>
      </c>
      <c r="H50" s="100">
        <v>85.94</v>
      </c>
      <c r="I50" s="100"/>
    </row>
    <row r="51" spans="1:9" x14ac:dyDescent="0.25">
      <c r="A51" s="249">
        <v>3299</v>
      </c>
      <c r="B51" s="250">
        <v>3299</v>
      </c>
      <c r="C51" s="251">
        <v>3299</v>
      </c>
      <c r="D51" s="114" t="s">
        <v>75</v>
      </c>
      <c r="E51" s="139">
        <f>1975.51/K1</f>
        <v>262.2</v>
      </c>
      <c r="F51" s="100">
        <v>0</v>
      </c>
      <c r="G51" s="100">
        <v>300</v>
      </c>
      <c r="H51" s="100">
        <v>193.47</v>
      </c>
      <c r="I51" s="100"/>
    </row>
    <row r="52" spans="1:9" x14ac:dyDescent="0.25">
      <c r="A52" s="258">
        <v>34</v>
      </c>
      <c r="B52" s="259"/>
      <c r="C52" s="260"/>
      <c r="D52" s="116" t="s">
        <v>98</v>
      </c>
      <c r="E52" s="138">
        <f>SUM(E54)</f>
        <v>1021.97</v>
      </c>
      <c r="F52" s="101">
        <f t="shared" ref="F52:I52" si="29">SUM(F54)</f>
        <v>485.45</v>
      </c>
      <c r="G52" s="91">
        <f t="shared" si="29"/>
        <v>950</v>
      </c>
      <c r="H52" s="91">
        <f t="shared" si="29"/>
        <v>494.18</v>
      </c>
      <c r="I52" s="91">
        <f t="shared" ref="I52:I53" si="30">H52/G52*100</f>
        <v>52.02</v>
      </c>
    </row>
    <row r="53" spans="1:9" x14ac:dyDescent="0.25">
      <c r="A53" s="281" t="s">
        <v>385</v>
      </c>
      <c r="B53" s="282"/>
      <c r="C53" s="283"/>
      <c r="D53" s="284" t="s">
        <v>98</v>
      </c>
      <c r="E53" s="285" t="e">
        <f>SUM(E55:E80)</f>
        <v>#DIV/0!</v>
      </c>
      <c r="F53" s="285">
        <f>F54</f>
        <v>485.45</v>
      </c>
      <c r="G53" s="285">
        <f t="shared" ref="G53:H53" si="31">G54</f>
        <v>950</v>
      </c>
      <c r="H53" s="285">
        <f t="shared" si="31"/>
        <v>494.18</v>
      </c>
      <c r="I53" s="285">
        <f t="shared" si="30"/>
        <v>52.02</v>
      </c>
    </row>
    <row r="54" spans="1:9" x14ac:dyDescent="0.25">
      <c r="A54" s="249" t="s">
        <v>177</v>
      </c>
      <c r="B54" s="250"/>
      <c r="C54" s="251"/>
      <c r="D54" s="117" t="s">
        <v>76</v>
      </c>
      <c r="E54" s="139">
        <f>7700/K1</f>
        <v>1021.97</v>
      </c>
      <c r="F54" s="100">
        <v>485.45</v>
      </c>
      <c r="G54" s="100">
        <v>950</v>
      </c>
      <c r="H54" s="100">
        <v>494.18</v>
      </c>
      <c r="I54" s="108"/>
    </row>
    <row r="55" spans="1:9" x14ac:dyDescent="0.25">
      <c r="A55" s="261" t="s">
        <v>121</v>
      </c>
      <c r="B55" s="262"/>
      <c r="C55" s="263"/>
      <c r="D55" s="111" t="s">
        <v>122</v>
      </c>
      <c r="E55" s="135">
        <f>E56</f>
        <v>8128.46</v>
      </c>
      <c r="F55" s="88">
        <f t="shared" ref="F55:I57" si="32">F56</f>
        <v>4900.51</v>
      </c>
      <c r="G55" s="88">
        <f t="shared" si="32"/>
        <v>8497</v>
      </c>
      <c r="H55" s="88">
        <f t="shared" si="32"/>
        <v>3014.87</v>
      </c>
      <c r="I55" s="88">
        <f t="shared" ref="I55:I59" si="33">H55/G55*100</f>
        <v>35.479999999999997</v>
      </c>
    </row>
    <row r="56" spans="1:9" ht="15" customHeight="1" x14ac:dyDescent="0.25">
      <c r="A56" s="252" t="s">
        <v>118</v>
      </c>
      <c r="B56" s="253"/>
      <c r="C56" s="254"/>
      <c r="D56" s="103" t="s">
        <v>119</v>
      </c>
      <c r="E56" s="136">
        <f>E57</f>
        <v>8128.46</v>
      </c>
      <c r="F56" s="89">
        <f t="shared" si="32"/>
        <v>4900.51</v>
      </c>
      <c r="G56" s="89">
        <f t="shared" si="32"/>
        <v>8497</v>
      </c>
      <c r="H56" s="89">
        <f t="shared" si="32"/>
        <v>3014.87</v>
      </c>
      <c r="I56" s="89">
        <f t="shared" si="33"/>
        <v>35.479999999999997</v>
      </c>
    </row>
    <row r="57" spans="1:9" x14ac:dyDescent="0.25">
      <c r="A57" s="255">
        <v>3</v>
      </c>
      <c r="B57" s="256"/>
      <c r="C57" s="257"/>
      <c r="D57" s="112" t="s">
        <v>22</v>
      </c>
      <c r="E57" s="137">
        <f>E58</f>
        <v>8128.46</v>
      </c>
      <c r="F57" s="90">
        <f t="shared" si="32"/>
        <v>4900.51</v>
      </c>
      <c r="G57" s="90">
        <f t="shared" si="32"/>
        <v>8497</v>
      </c>
      <c r="H57" s="90">
        <f t="shared" si="32"/>
        <v>3014.87</v>
      </c>
      <c r="I57" s="90">
        <f t="shared" si="33"/>
        <v>35.479999999999997</v>
      </c>
    </row>
    <row r="58" spans="1:9" x14ac:dyDescent="0.25">
      <c r="A58" s="258">
        <v>32</v>
      </c>
      <c r="B58" s="259"/>
      <c r="C58" s="260"/>
      <c r="D58" s="116" t="s">
        <v>36</v>
      </c>
      <c r="E58" s="141">
        <f>SUM(E60:E61)</f>
        <v>8128.46</v>
      </c>
      <c r="F58" s="93">
        <f t="shared" ref="F58:I58" si="34">SUM(F60:F61)</f>
        <v>4900.51</v>
      </c>
      <c r="G58" s="93">
        <f t="shared" si="34"/>
        <v>8497</v>
      </c>
      <c r="H58" s="93">
        <f t="shared" si="34"/>
        <v>3014.87</v>
      </c>
      <c r="I58" s="93">
        <f t="shared" si="33"/>
        <v>35.479999999999997</v>
      </c>
    </row>
    <row r="59" spans="1:9" x14ac:dyDescent="0.25">
      <c r="A59" s="281">
        <v>322</v>
      </c>
      <c r="B59" s="282"/>
      <c r="C59" s="283"/>
      <c r="D59" s="284" t="s">
        <v>36</v>
      </c>
      <c r="E59" s="285" t="e">
        <f>SUM(E61:E85)</f>
        <v>#DIV/0!</v>
      </c>
      <c r="F59" s="285">
        <f>SUM(F60:F61)</f>
        <v>4900.51</v>
      </c>
      <c r="G59" s="285">
        <f t="shared" ref="G59:H59" si="35">SUM(G60:G61)</f>
        <v>8497</v>
      </c>
      <c r="H59" s="285">
        <f t="shared" si="35"/>
        <v>3014.87</v>
      </c>
      <c r="I59" s="285">
        <f t="shared" si="33"/>
        <v>35.479999999999997</v>
      </c>
    </row>
    <row r="60" spans="1:9" x14ac:dyDescent="0.25">
      <c r="A60" s="278">
        <v>3224</v>
      </c>
      <c r="B60" s="279"/>
      <c r="C60" s="280"/>
      <c r="D60" s="114" t="s">
        <v>78</v>
      </c>
      <c r="E60" s="139">
        <f>18000/K1</f>
        <v>2389.0100000000002</v>
      </c>
      <c r="F60" s="100">
        <v>1674.07</v>
      </c>
      <c r="G60" s="100">
        <v>2900</v>
      </c>
      <c r="H60" s="100">
        <v>472.63</v>
      </c>
      <c r="I60" s="108"/>
    </row>
    <row r="61" spans="1:9" x14ac:dyDescent="0.25">
      <c r="A61" s="278">
        <v>3232</v>
      </c>
      <c r="B61" s="279"/>
      <c r="C61" s="280"/>
      <c r="D61" s="117" t="s">
        <v>79</v>
      </c>
      <c r="E61" s="139">
        <f>43243.9/K1</f>
        <v>5739.45</v>
      </c>
      <c r="F61" s="100">
        <v>3226.44</v>
      </c>
      <c r="G61" s="100">
        <v>5597</v>
      </c>
      <c r="H61" s="100">
        <v>2542.2399999999998</v>
      </c>
      <c r="I61" s="108"/>
    </row>
    <row r="62" spans="1:9" ht="15" customHeight="1" x14ac:dyDescent="0.25">
      <c r="A62" s="261" t="s">
        <v>125</v>
      </c>
      <c r="B62" s="262"/>
      <c r="C62" s="263"/>
      <c r="D62" s="111" t="s">
        <v>61</v>
      </c>
      <c r="E62" s="135">
        <v>0</v>
      </c>
      <c r="F62" s="102">
        <v>0</v>
      </c>
      <c r="G62" s="102">
        <v>0</v>
      </c>
      <c r="H62" s="102"/>
      <c r="I62" s="79"/>
    </row>
    <row r="63" spans="1:9" ht="15" customHeight="1" x14ac:dyDescent="0.25">
      <c r="A63" s="252" t="s">
        <v>118</v>
      </c>
      <c r="B63" s="253"/>
      <c r="C63" s="254"/>
      <c r="D63" s="103" t="s">
        <v>119</v>
      </c>
      <c r="E63" s="136">
        <v>0</v>
      </c>
      <c r="F63" s="103">
        <v>0</v>
      </c>
      <c r="G63" s="103">
        <v>0</v>
      </c>
      <c r="H63" s="103"/>
      <c r="I63" s="76"/>
    </row>
    <row r="64" spans="1:9" x14ac:dyDescent="0.25">
      <c r="A64" s="255">
        <v>3</v>
      </c>
      <c r="B64" s="256"/>
      <c r="C64" s="257"/>
      <c r="D64" s="112" t="s">
        <v>22</v>
      </c>
      <c r="E64" s="137">
        <v>0</v>
      </c>
      <c r="F64" s="104">
        <v>0</v>
      </c>
      <c r="G64" s="104">
        <v>0</v>
      </c>
      <c r="H64" s="104"/>
      <c r="I64" s="80"/>
    </row>
    <row r="65" spans="1:11" x14ac:dyDescent="0.25">
      <c r="A65" s="278">
        <v>32</v>
      </c>
      <c r="B65" s="279"/>
      <c r="C65" s="280"/>
      <c r="D65" s="114" t="s">
        <v>36</v>
      </c>
      <c r="E65" s="139"/>
      <c r="F65" s="77"/>
      <c r="G65" s="100">
        <v>0</v>
      </c>
      <c r="H65" s="100"/>
      <c r="I65" s="78"/>
    </row>
    <row r="66" spans="1:11" ht="45" customHeight="1" x14ac:dyDescent="0.25">
      <c r="A66" s="267" t="s">
        <v>120</v>
      </c>
      <c r="B66" s="268"/>
      <c r="C66" s="269"/>
      <c r="D66" s="115" t="s">
        <v>80</v>
      </c>
      <c r="E66" s="140" t="e">
        <f>E67+E79+E86+E92+E98+E125+E152+E179+E202+#REF!</f>
        <v>#DIV/0!</v>
      </c>
      <c r="F66" s="94">
        <f>F67+F79+F86+F92+F98+F125+F152+F179+F202+0.02</f>
        <v>26699.59</v>
      </c>
      <c r="G66" s="94">
        <f>G67+G79+G86+G92+G98+G125+G152+G179+G202</f>
        <v>82043.649999999994</v>
      </c>
      <c r="H66" s="94">
        <f>H67+H79+H86+H92+H98+H125+H152+H179+H202</f>
        <v>42442.86</v>
      </c>
      <c r="I66" s="94">
        <f t="shared" ref="I66:I71" si="36">H66/G66*100</f>
        <v>51.73</v>
      </c>
      <c r="K66" s="41">
        <f>61197-G66</f>
        <v>-20846.650000000001</v>
      </c>
    </row>
    <row r="67" spans="1:11" ht="14.25" customHeight="1" x14ac:dyDescent="0.25">
      <c r="A67" s="261" t="s">
        <v>92</v>
      </c>
      <c r="B67" s="262"/>
      <c r="C67" s="263"/>
      <c r="D67" s="111" t="s">
        <v>123</v>
      </c>
      <c r="E67" s="135" t="e">
        <f>E69</f>
        <v>#DIV/0!</v>
      </c>
      <c r="F67" s="88">
        <f t="shared" ref="F67:I67" si="37">F69</f>
        <v>226.72</v>
      </c>
      <c r="G67" s="88">
        <f t="shared" si="37"/>
        <v>666</v>
      </c>
      <c r="H67" s="88">
        <f t="shared" si="37"/>
        <v>322.10000000000002</v>
      </c>
      <c r="I67" s="88">
        <f t="shared" si="36"/>
        <v>48.36</v>
      </c>
    </row>
    <row r="68" spans="1:11" ht="15" customHeight="1" x14ac:dyDescent="0.25">
      <c r="A68" s="252" t="s">
        <v>124</v>
      </c>
      <c r="B68" s="253"/>
      <c r="C68" s="254"/>
      <c r="D68" s="103" t="s">
        <v>18</v>
      </c>
      <c r="E68" s="136" t="e">
        <f>E69</f>
        <v>#DIV/0!</v>
      </c>
      <c r="F68" s="89">
        <f t="shared" ref="F68:I68" si="38">F69</f>
        <v>226.72</v>
      </c>
      <c r="G68" s="89">
        <f t="shared" si="38"/>
        <v>666</v>
      </c>
      <c r="H68" s="89">
        <f t="shared" si="38"/>
        <v>322.10000000000002</v>
      </c>
      <c r="I68" s="89">
        <f t="shared" si="36"/>
        <v>48.36</v>
      </c>
    </row>
    <row r="69" spans="1:11" x14ac:dyDescent="0.25">
      <c r="A69" s="255">
        <v>3</v>
      </c>
      <c r="B69" s="256"/>
      <c r="C69" s="257"/>
      <c r="D69" s="112" t="s">
        <v>22</v>
      </c>
      <c r="E69" s="137" t="e">
        <f>E70</f>
        <v>#DIV/0!</v>
      </c>
      <c r="F69" s="90">
        <f t="shared" ref="F69:I69" si="39">F70</f>
        <v>226.72</v>
      </c>
      <c r="G69" s="90">
        <f t="shared" si="39"/>
        <v>666</v>
      </c>
      <c r="H69" s="90">
        <f t="shared" si="39"/>
        <v>322.10000000000002</v>
      </c>
      <c r="I69" s="90">
        <f t="shared" si="36"/>
        <v>48.36</v>
      </c>
    </row>
    <row r="70" spans="1:11" x14ac:dyDescent="0.25">
      <c r="A70" s="258">
        <v>32</v>
      </c>
      <c r="B70" s="259"/>
      <c r="C70" s="260"/>
      <c r="D70" s="116" t="s">
        <v>36</v>
      </c>
      <c r="E70" s="138" t="e">
        <f>SUM(E72:E78)</f>
        <v>#DIV/0!</v>
      </c>
      <c r="F70" s="101">
        <f>F71+F74+F76</f>
        <v>226.72</v>
      </c>
      <c r="G70" s="101">
        <f t="shared" ref="G70:H70" si="40">G71+G74+G76</f>
        <v>666</v>
      </c>
      <c r="H70" s="101">
        <f t="shared" si="40"/>
        <v>322.10000000000002</v>
      </c>
      <c r="I70" s="91">
        <f t="shared" si="36"/>
        <v>48.36</v>
      </c>
    </row>
    <row r="71" spans="1:11" x14ac:dyDescent="0.25">
      <c r="A71" s="281" t="s">
        <v>345</v>
      </c>
      <c r="B71" s="282"/>
      <c r="C71" s="283"/>
      <c r="D71" s="284" t="s">
        <v>448</v>
      </c>
      <c r="E71" s="285" t="e">
        <f>SUM(E73:E99)</f>
        <v>#DIV/0!</v>
      </c>
      <c r="F71" s="285">
        <f>SUM(F72:F73)</f>
        <v>176.47</v>
      </c>
      <c r="G71" s="285">
        <f t="shared" ref="G71:H71" si="41">SUM(G72:G73)</f>
        <v>200</v>
      </c>
      <c r="H71" s="285">
        <f t="shared" si="41"/>
        <v>71.5</v>
      </c>
      <c r="I71" s="285">
        <f t="shared" si="36"/>
        <v>35.75</v>
      </c>
    </row>
    <row r="72" spans="1:11" x14ac:dyDescent="0.25">
      <c r="A72" s="249">
        <v>3211</v>
      </c>
      <c r="B72" s="250"/>
      <c r="C72" s="251"/>
      <c r="D72" s="114" t="s">
        <v>58</v>
      </c>
      <c r="E72" s="139"/>
      <c r="F72" s="100">
        <v>176.47</v>
      </c>
      <c r="G72" s="100">
        <v>100</v>
      </c>
      <c r="H72" s="100">
        <v>71.5</v>
      </c>
      <c r="I72" s="108"/>
    </row>
    <row r="73" spans="1:11" x14ac:dyDescent="0.25">
      <c r="A73" s="249">
        <v>3213</v>
      </c>
      <c r="B73" s="250">
        <v>3213</v>
      </c>
      <c r="C73" s="251">
        <v>3213</v>
      </c>
      <c r="D73" s="114" t="s">
        <v>59</v>
      </c>
      <c r="E73" s="139"/>
      <c r="F73" s="100">
        <v>0</v>
      </c>
      <c r="G73" s="100">
        <v>100</v>
      </c>
      <c r="H73" s="100">
        <v>0</v>
      </c>
      <c r="I73" s="108"/>
    </row>
    <row r="74" spans="1:11" x14ac:dyDescent="0.25">
      <c r="A74" s="281">
        <v>322</v>
      </c>
      <c r="B74" s="282"/>
      <c r="C74" s="283"/>
      <c r="D74" s="284" t="s">
        <v>36</v>
      </c>
      <c r="E74" s="285" t="e">
        <f>SUM(E77:E103)</f>
        <v>#DIV/0!</v>
      </c>
      <c r="F74" s="285">
        <f>F75</f>
        <v>0</v>
      </c>
      <c r="G74" s="285">
        <f t="shared" ref="G74:H74" si="42">G75</f>
        <v>50</v>
      </c>
      <c r="H74" s="285">
        <f t="shared" si="42"/>
        <v>0</v>
      </c>
      <c r="I74" s="285">
        <f t="shared" ref="I74" si="43">H74/G74*100</f>
        <v>0</v>
      </c>
    </row>
    <row r="75" spans="1:11" x14ac:dyDescent="0.25">
      <c r="A75" s="249">
        <v>3221</v>
      </c>
      <c r="B75" s="250">
        <v>3221</v>
      </c>
      <c r="C75" s="251">
        <v>3221</v>
      </c>
      <c r="D75" s="114" t="s">
        <v>60</v>
      </c>
      <c r="E75" s="139"/>
      <c r="F75" s="100">
        <v>0</v>
      </c>
      <c r="G75" s="100">
        <v>50</v>
      </c>
      <c r="H75" s="100">
        <v>0</v>
      </c>
      <c r="I75" s="108"/>
    </row>
    <row r="76" spans="1:11" x14ac:dyDescent="0.25">
      <c r="A76" s="281" t="s">
        <v>376</v>
      </c>
      <c r="B76" s="282"/>
      <c r="C76" s="283"/>
      <c r="D76" s="284" t="s">
        <v>101</v>
      </c>
      <c r="E76" s="285" t="e">
        <f>SUM(E78:E107)</f>
        <v>#DIV/0!</v>
      </c>
      <c r="F76" s="285">
        <f>SUM(F77:F78)</f>
        <v>50.25</v>
      </c>
      <c r="G76" s="285">
        <f t="shared" ref="G76:H76" si="44">SUM(G77:G78)</f>
        <v>416</v>
      </c>
      <c r="H76" s="285">
        <f t="shared" si="44"/>
        <v>250.6</v>
      </c>
      <c r="I76" s="285">
        <f t="shared" ref="I76" si="45">H76/G76*100</f>
        <v>60.24</v>
      </c>
    </row>
    <row r="77" spans="1:11" x14ac:dyDescent="0.25">
      <c r="A77" s="249" t="s">
        <v>178</v>
      </c>
      <c r="B77" s="250">
        <v>3223</v>
      </c>
      <c r="C77" s="251">
        <v>3223</v>
      </c>
      <c r="D77" s="117" t="s">
        <v>72</v>
      </c>
      <c r="E77" s="139"/>
      <c r="F77" s="100">
        <f>50.25</f>
        <v>50.25</v>
      </c>
      <c r="G77" s="100">
        <v>50</v>
      </c>
      <c r="H77" s="100">
        <v>0</v>
      </c>
      <c r="I77" s="108"/>
    </row>
    <row r="78" spans="1:11" x14ac:dyDescent="0.25">
      <c r="A78" s="249" t="s">
        <v>180</v>
      </c>
      <c r="B78" s="250">
        <v>3213</v>
      </c>
      <c r="C78" s="251">
        <v>3213</v>
      </c>
      <c r="D78" s="114" t="s">
        <v>83</v>
      </c>
      <c r="E78" s="139">
        <f>5000/K1</f>
        <v>663.61</v>
      </c>
      <c r="F78" s="100">
        <v>0</v>
      </c>
      <c r="G78" s="100">
        <v>366</v>
      </c>
      <c r="H78" s="100">
        <v>250.6</v>
      </c>
      <c r="I78" s="108"/>
    </row>
    <row r="79" spans="1:11" ht="14.25" customHeight="1" x14ac:dyDescent="0.25">
      <c r="A79" s="261" t="s">
        <v>81</v>
      </c>
      <c r="B79" s="262"/>
      <c r="C79" s="263"/>
      <c r="D79" s="111" t="s">
        <v>126</v>
      </c>
      <c r="E79" s="135">
        <f>E80</f>
        <v>1500.85</v>
      </c>
      <c r="F79" s="88">
        <f t="shared" ref="F79:I79" si="46">F80</f>
        <v>0</v>
      </c>
      <c r="G79" s="88">
        <f t="shared" si="46"/>
        <v>0</v>
      </c>
      <c r="H79" s="88">
        <f t="shared" si="46"/>
        <v>0</v>
      </c>
      <c r="I79" s="88" t="e">
        <f t="shared" ref="I79:I83" si="47">H79/G79*100</f>
        <v>#DIV/0!</v>
      </c>
    </row>
    <row r="80" spans="1:11" ht="15" customHeight="1" x14ac:dyDescent="0.25">
      <c r="A80" s="252" t="s">
        <v>124</v>
      </c>
      <c r="B80" s="253"/>
      <c r="C80" s="254"/>
      <c r="D80" s="103" t="s">
        <v>18</v>
      </c>
      <c r="E80" s="136">
        <f>E81</f>
        <v>1500.85</v>
      </c>
      <c r="F80" s="89">
        <f t="shared" ref="F80:I80" si="48">F81</f>
        <v>0</v>
      </c>
      <c r="G80" s="89">
        <f t="shared" si="48"/>
        <v>0</v>
      </c>
      <c r="H80" s="89">
        <f t="shared" si="48"/>
        <v>0</v>
      </c>
      <c r="I80" s="89" t="e">
        <f t="shared" si="47"/>
        <v>#DIV/0!</v>
      </c>
    </row>
    <row r="81" spans="1:9" x14ac:dyDescent="0.25">
      <c r="A81" s="255">
        <v>3</v>
      </c>
      <c r="B81" s="256"/>
      <c r="C81" s="257"/>
      <c r="D81" s="112" t="s">
        <v>22</v>
      </c>
      <c r="E81" s="137">
        <f>E82</f>
        <v>1500.85</v>
      </c>
      <c r="F81" s="90">
        <f t="shared" ref="F81:I81" si="49">F82</f>
        <v>0</v>
      </c>
      <c r="G81" s="90">
        <f t="shared" si="49"/>
        <v>0</v>
      </c>
      <c r="H81" s="90">
        <f t="shared" si="49"/>
        <v>0</v>
      </c>
      <c r="I81" s="90" t="e">
        <f t="shared" si="47"/>
        <v>#DIV/0!</v>
      </c>
    </row>
    <row r="82" spans="1:9" x14ac:dyDescent="0.25">
      <c r="A82" s="258">
        <v>32</v>
      </c>
      <c r="B82" s="259"/>
      <c r="C82" s="260"/>
      <c r="D82" s="116" t="s">
        <v>36</v>
      </c>
      <c r="E82" s="138">
        <f>SUM(E84:E85)</f>
        <v>1500.85</v>
      </c>
      <c r="F82" s="91">
        <f t="shared" ref="F82:I82" si="50">SUM(F84:F85)</f>
        <v>0</v>
      </c>
      <c r="G82" s="91">
        <f t="shared" si="50"/>
        <v>0</v>
      </c>
      <c r="H82" s="91">
        <f t="shared" si="50"/>
        <v>0</v>
      </c>
      <c r="I82" s="91" t="e">
        <f t="shared" si="47"/>
        <v>#DIV/0!</v>
      </c>
    </row>
    <row r="83" spans="1:9" x14ac:dyDescent="0.25">
      <c r="A83" s="281" t="s">
        <v>376</v>
      </c>
      <c r="B83" s="282"/>
      <c r="C83" s="283"/>
      <c r="D83" s="284" t="s">
        <v>101</v>
      </c>
      <c r="E83" s="285" t="e">
        <f>SUM(E85:E116)</f>
        <v>#DIV/0!</v>
      </c>
      <c r="F83" s="285">
        <f>SUM(F84:F85)</f>
        <v>0</v>
      </c>
      <c r="G83" s="285">
        <f t="shared" ref="G83:H83" si="51">SUM(G84:G85)</f>
        <v>0</v>
      </c>
      <c r="H83" s="285">
        <f t="shared" si="51"/>
        <v>0</v>
      </c>
      <c r="I83" s="285" t="e">
        <f t="shared" si="47"/>
        <v>#DIV/0!</v>
      </c>
    </row>
    <row r="84" spans="1:9" x14ac:dyDescent="0.25">
      <c r="A84" s="249" t="s">
        <v>179</v>
      </c>
      <c r="B84" s="250"/>
      <c r="C84" s="251"/>
      <c r="D84" s="114" t="s">
        <v>82</v>
      </c>
      <c r="E84" s="139">
        <f>7978.8/K1</f>
        <v>1058.97</v>
      </c>
      <c r="F84" s="100">
        <v>0</v>
      </c>
      <c r="G84" s="100">
        <v>0</v>
      </c>
      <c r="H84" s="100">
        <v>0</v>
      </c>
      <c r="I84" s="100"/>
    </row>
    <row r="85" spans="1:9" x14ac:dyDescent="0.25">
      <c r="A85" s="249" t="s">
        <v>180</v>
      </c>
      <c r="B85" s="250">
        <v>3213</v>
      </c>
      <c r="C85" s="251">
        <v>3213</v>
      </c>
      <c r="D85" s="114" t="s">
        <v>83</v>
      </c>
      <c r="E85" s="139">
        <f>3329.31/K1</f>
        <v>441.88</v>
      </c>
      <c r="F85" s="100">
        <v>0</v>
      </c>
      <c r="G85" s="100">
        <v>0</v>
      </c>
      <c r="H85" s="100">
        <v>0</v>
      </c>
      <c r="I85" s="100"/>
    </row>
    <row r="86" spans="1:9" ht="14.25" customHeight="1" x14ac:dyDescent="0.25">
      <c r="A86" s="261" t="s">
        <v>84</v>
      </c>
      <c r="B86" s="262"/>
      <c r="C86" s="263"/>
      <c r="D86" s="111" t="s">
        <v>127</v>
      </c>
      <c r="E86" s="135">
        <f>E87</f>
        <v>530.89</v>
      </c>
      <c r="F86" s="102">
        <f t="shared" ref="F86:I86" si="52">F87</f>
        <v>0</v>
      </c>
      <c r="G86" s="88">
        <f t="shared" si="52"/>
        <v>0</v>
      </c>
      <c r="H86" s="88">
        <f t="shared" si="52"/>
        <v>0</v>
      </c>
      <c r="I86" s="88" t="e">
        <f t="shared" ref="I86:I90" si="53">H86/G86*100</f>
        <v>#DIV/0!</v>
      </c>
    </row>
    <row r="87" spans="1:9" ht="15" customHeight="1" x14ac:dyDescent="0.25">
      <c r="A87" s="252" t="s">
        <v>124</v>
      </c>
      <c r="B87" s="253"/>
      <c r="C87" s="254"/>
      <c r="D87" s="103" t="s">
        <v>18</v>
      </c>
      <c r="E87" s="136">
        <f>E88</f>
        <v>530.89</v>
      </c>
      <c r="F87" s="103">
        <f t="shared" ref="F87:I87" si="54">F88</f>
        <v>0</v>
      </c>
      <c r="G87" s="89">
        <f t="shared" si="54"/>
        <v>0</v>
      </c>
      <c r="H87" s="89">
        <f t="shared" si="54"/>
        <v>0</v>
      </c>
      <c r="I87" s="89" t="e">
        <f t="shared" si="53"/>
        <v>#DIV/0!</v>
      </c>
    </row>
    <row r="88" spans="1:9" x14ac:dyDescent="0.25">
      <c r="A88" s="255">
        <v>3</v>
      </c>
      <c r="B88" s="256"/>
      <c r="C88" s="257"/>
      <c r="D88" s="112" t="s">
        <v>22</v>
      </c>
      <c r="E88" s="137">
        <f>E89</f>
        <v>530.89</v>
      </c>
      <c r="F88" s="104">
        <f t="shared" ref="F88:I88" si="55">F89</f>
        <v>0</v>
      </c>
      <c r="G88" s="90">
        <f t="shared" si="55"/>
        <v>0</v>
      </c>
      <c r="H88" s="90">
        <f t="shared" si="55"/>
        <v>0</v>
      </c>
      <c r="I88" s="90" t="e">
        <f t="shared" si="53"/>
        <v>#DIV/0!</v>
      </c>
    </row>
    <row r="89" spans="1:9" x14ac:dyDescent="0.25">
      <c r="A89" s="258">
        <v>32</v>
      </c>
      <c r="B89" s="259"/>
      <c r="C89" s="260"/>
      <c r="D89" s="116" t="s">
        <v>36</v>
      </c>
      <c r="E89" s="138">
        <f>E91</f>
        <v>530.89</v>
      </c>
      <c r="F89" s="91">
        <f>F91</f>
        <v>0</v>
      </c>
      <c r="G89" s="91">
        <f>G91</f>
        <v>0</v>
      </c>
      <c r="H89" s="91">
        <f>H91</f>
        <v>0</v>
      </c>
      <c r="I89" s="91" t="e">
        <f t="shared" si="53"/>
        <v>#DIV/0!</v>
      </c>
    </row>
    <row r="90" spans="1:9" x14ac:dyDescent="0.25">
      <c r="A90" s="281" t="s">
        <v>376</v>
      </c>
      <c r="B90" s="282"/>
      <c r="C90" s="283"/>
      <c r="D90" s="284" t="s">
        <v>101</v>
      </c>
      <c r="E90" s="285" t="e">
        <f>SUM(E92:E126)</f>
        <v>#DIV/0!</v>
      </c>
      <c r="F90" s="285">
        <f>F91</f>
        <v>0</v>
      </c>
      <c r="G90" s="285">
        <f t="shared" ref="G90:H90" si="56">G91</f>
        <v>0</v>
      </c>
      <c r="H90" s="285">
        <f t="shared" si="56"/>
        <v>0</v>
      </c>
      <c r="I90" s="285" t="e">
        <f t="shared" si="53"/>
        <v>#DIV/0!</v>
      </c>
    </row>
    <row r="91" spans="1:9" x14ac:dyDescent="0.25">
      <c r="A91" s="249" t="s">
        <v>180</v>
      </c>
      <c r="B91" s="250"/>
      <c r="C91" s="251"/>
      <c r="D91" s="117" t="s">
        <v>83</v>
      </c>
      <c r="E91" s="139">
        <f>4000/K1</f>
        <v>530.89</v>
      </c>
      <c r="F91" s="100">
        <v>0</v>
      </c>
      <c r="G91" s="100">
        <v>0</v>
      </c>
      <c r="H91" s="100">
        <v>0</v>
      </c>
      <c r="I91" s="108">
        <v>0</v>
      </c>
    </row>
    <row r="92" spans="1:9" ht="14.25" customHeight="1" x14ac:dyDescent="0.25">
      <c r="A92" s="261" t="s">
        <v>132</v>
      </c>
      <c r="B92" s="262"/>
      <c r="C92" s="263"/>
      <c r="D92" s="111" t="s">
        <v>131</v>
      </c>
      <c r="E92" s="135">
        <f>E93</f>
        <v>530.89</v>
      </c>
      <c r="F92" s="88">
        <f t="shared" ref="F92:I92" si="57">F93</f>
        <v>530.88</v>
      </c>
      <c r="G92" s="88">
        <f t="shared" si="57"/>
        <v>531</v>
      </c>
      <c r="H92" s="88">
        <f t="shared" si="57"/>
        <v>0</v>
      </c>
      <c r="I92" s="88">
        <f t="shared" ref="I92:I96" si="58">H92/G92*100</f>
        <v>0</v>
      </c>
    </row>
    <row r="93" spans="1:9" ht="15" customHeight="1" x14ac:dyDescent="0.25">
      <c r="A93" s="252" t="s">
        <v>124</v>
      </c>
      <c r="B93" s="253"/>
      <c r="C93" s="254"/>
      <c r="D93" s="103" t="s">
        <v>18</v>
      </c>
      <c r="E93" s="136">
        <f>E94</f>
        <v>530.89</v>
      </c>
      <c r="F93" s="89">
        <f t="shared" ref="F93:I94" si="59">F94</f>
        <v>530.88</v>
      </c>
      <c r="G93" s="89">
        <f t="shared" si="59"/>
        <v>531</v>
      </c>
      <c r="H93" s="89">
        <f t="shared" si="59"/>
        <v>0</v>
      </c>
      <c r="I93" s="89">
        <f t="shared" si="58"/>
        <v>0</v>
      </c>
    </row>
    <row r="94" spans="1:9" x14ac:dyDescent="0.25">
      <c r="A94" s="255">
        <v>3</v>
      </c>
      <c r="B94" s="256"/>
      <c r="C94" s="257"/>
      <c r="D94" s="112" t="s">
        <v>22</v>
      </c>
      <c r="E94" s="137">
        <f>E95</f>
        <v>530.89</v>
      </c>
      <c r="F94" s="90">
        <f t="shared" si="59"/>
        <v>530.88</v>
      </c>
      <c r="G94" s="90">
        <f t="shared" si="59"/>
        <v>531</v>
      </c>
      <c r="H94" s="90">
        <f t="shared" si="59"/>
        <v>0</v>
      </c>
      <c r="I94" s="90">
        <f t="shared" si="58"/>
        <v>0</v>
      </c>
    </row>
    <row r="95" spans="1:9" x14ac:dyDescent="0.25">
      <c r="A95" s="258">
        <v>32</v>
      </c>
      <c r="B95" s="259"/>
      <c r="C95" s="260"/>
      <c r="D95" s="116" t="s">
        <v>36</v>
      </c>
      <c r="E95" s="138">
        <f>E97</f>
        <v>530.89</v>
      </c>
      <c r="F95" s="91">
        <f t="shared" ref="F95:I95" si="60">F97</f>
        <v>530.88</v>
      </c>
      <c r="G95" s="91">
        <f t="shared" si="60"/>
        <v>531</v>
      </c>
      <c r="H95" s="91">
        <f t="shared" si="60"/>
        <v>0</v>
      </c>
      <c r="I95" s="91">
        <f t="shared" si="58"/>
        <v>0</v>
      </c>
    </row>
    <row r="96" spans="1:9" x14ac:dyDescent="0.25">
      <c r="A96" s="281" t="s">
        <v>360</v>
      </c>
      <c r="B96" s="282"/>
      <c r="C96" s="283"/>
      <c r="D96" s="284" t="s">
        <v>444</v>
      </c>
      <c r="E96" s="285" t="e">
        <f>SUM(E98:E128)</f>
        <v>#DIV/0!</v>
      </c>
      <c r="F96" s="285">
        <f>F97</f>
        <v>530.88</v>
      </c>
      <c r="G96" s="285">
        <f>G97</f>
        <v>531</v>
      </c>
      <c r="H96" s="285">
        <f>SUM(H97:H107)</f>
        <v>0</v>
      </c>
      <c r="I96" s="285">
        <f t="shared" si="58"/>
        <v>0</v>
      </c>
    </row>
    <row r="97" spans="1:9" x14ac:dyDescent="0.25">
      <c r="A97" s="249">
        <v>3238</v>
      </c>
      <c r="B97" s="250">
        <v>3238</v>
      </c>
      <c r="C97" s="251">
        <v>3238</v>
      </c>
      <c r="D97" s="114" t="s">
        <v>70</v>
      </c>
      <c r="E97" s="139">
        <v>530.89</v>
      </c>
      <c r="F97" s="100">
        <v>530.88</v>
      </c>
      <c r="G97" s="100">
        <v>531</v>
      </c>
      <c r="H97" s="100">
        <v>0</v>
      </c>
      <c r="I97" s="100"/>
    </row>
    <row r="98" spans="1:9" ht="14.25" customHeight="1" x14ac:dyDescent="0.25">
      <c r="A98" s="261" t="s">
        <v>128</v>
      </c>
      <c r="B98" s="262"/>
      <c r="C98" s="263"/>
      <c r="D98" s="111" t="s">
        <v>129</v>
      </c>
      <c r="E98" s="135" t="e">
        <f>E99+E112</f>
        <v>#DIV/0!</v>
      </c>
      <c r="F98" s="88">
        <f t="shared" ref="F98:I98" si="61">F99+F112</f>
        <v>25941.97</v>
      </c>
      <c r="G98" s="88">
        <f t="shared" si="61"/>
        <v>0</v>
      </c>
      <c r="H98" s="88">
        <f t="shared" si="61"/>
        <v>0</v>
      </c>
      <c r="I98" s="88" t="e">
        <f t="shared" ref="I98:I102" si="62">H98/G98*100</f>
        <v>#DIV/0!</v>
      </c>
    </row>
    <row r="99" spans="1:9" ht="15" customHeight="1" x14ac:dyDescent="0.25">
      <c r="A99" s="252" t="s">
        <v>124</v>
      </c>
      <c r="B99" s="253"/>
      <c r="C99" s="254"/>
      <c r="D99" s="103" t="s">
        <v>18</v>
      </c>
      <c r="E99" s="136" t="e">
        <f>E100</f>
        <v>#DIV/0!</v>
      </c>
      <c r="F99" s="89">
        <f t="shared" ref="F99:I99" si="63">F100</f>
        <v>3891.3</v>
      </c>
      <c r="G99" s="89">
        <f t="shared" si="63"/>
        <v>0</v>
      </c>
      <c r="H99" s="89">
        <f t="shared" si="63"/>
        <v>0</v>
      </c>
      <c r="I99" s="89" t="e">
        <f t="shared" si="62"/>
        <v>#DIV/0!</v>
      </c>
    </row>
    <row r="100" spans="1:9" x14ac:dyDescent="0.25">
      <c r="A100" s="255">
        <v>3</v>
      </c>
      <c r="B100" s="256"/>
      <c r="C100" s="257"/>
      <c r="D100" s="112" t="s">
        <v>22</v>
      </c>
      <c r="E100" s="137" t="e">
        <f>E101+E108</f>
        <v>#DIV/0!</v>
      </c>
      <c r="F100" s="90">
        <f t="shared" ref="F100:I100" si="64">F101+F108</f>
        <v>3891.3</v>
      </c>
      <c r="G100" s="90">
        <f t="shared" si="64"/>
        <v>0</v>
      </c>
      <c r="H100" s="90">
        <f t="shared" si="64"/>
        <v>0</v>
      </c>
      <c r="I100" s="90" t="e">
        <f t="shared" si="62"/>
        <v>#DIV/0!</v>
      </c>
    </row>
    <row r="101" spans="1:9" x14ac:dyDescent="0.25">
      <c r="A101" s="258">
        <v>31</v>
      </c>
      <c r="B101" s="259"/>
      <c r="C101" s="260"/>
      <c r="D101" s="116" t="s">
        <v>23</v>
      </c>
      <c r="E101" s="138" t="e">
        <f>SUM(E103:E107)</f>
        <v>#DIV/0!</v>
      </c>
      <c r="F101" s="101">
        <f>F102+F104+F106</f>
        <v>3676.16</v>
      </c>
      <c r="G101" s="101">
        <f t="shared" ref="G101:H101" si="65">G102+G104+G106</f>
        <v>0</v>
      </c>
      <c r="H101" s="101">
        <f t="shared" si="65"/>
        <v>0</v>
      </c>
      <c r="I101" s="91" t="e">
        <f t="shared" si="62"/>
        <v>#DIV/0!</v>
      </c>
    </row>
    <row r="102" spans="1:9" x14ac:dyDescent="0.25">
      <c r="A102" s="281" t="s">
        <v>334</v>
      </c>
      <c r="B102" s="282"/>
      <c r="C102" s="283"/>
      <c r="D102" s="284" t="s">
        <v>446</v>
      </c>
      <c r="E102" s="285" t="e">
        <f>SUM(E105:E138)</f>
        <v>#DIV/0!</v>
      </c>
      <c r="F102" s="285">
        <f>F103</f>
        <v>3155.5</v>
      </c>
      <c r="G102" s="285">
        <f t="shared" ref="G102:H102" si="66">G103</f>
        <v>0</v>
      </c>
      <c r="H102" s="285">
        <f t="shared" si="66"/>
        <v>0</v>
      </c>
      <c r="I102" s="285" t="e">
        <f t="shared" si="62"/>
        <v>#DIV/0!</v>
      </c>
    </row>
    <row r="103" spans="1:9" x14ac:dyDescent="0.25">
      <c r="A103" s="249" t="s">
        <v>181</v>
      </c>
      <c r="B103" s="250"/>
      <c r="C103" s="251"/>
      <c r="D103" s="117" t="s">
        <v>86</v>
      </c>
      <c r="E103" s="139">
        <f>10296.51/K1</f>
        <v>1366.58</v>
      </c>
      <c r="F103" s="100">
        <v>3155.5</v>
      </c>
      <c r="G103" s="77"/>
      <c r="H103" s="77"/>
      <c r="I103" s="78"/>
    </row>
    <row r="104" spans="1:9" x14ac:dyDescent="0.25">
      <c r="A104" s="281" t="s">
        <v>337</v>
      </c>
      <c r="B104" s="282"/>
      <c r="C104" s="283"/>
      <c r="D104" s="284" t="s">
        <v>87</v>
      </c>
      <c r="E104" s="285" t="e">
        <f>SUM(E108:E140)</f>
        <v>#DIV/0!</v>
      </c>
      <c r="F104" s="285">
        <f>F105</f>
        <v>0</v>
      </c>
      <c r="G104" s="285">
        <f t="shared" ref="G104:H104" si="67">G105</f>
        <v>0</v>
      </c>
      <c r="H104" s="285">
        <f t="shared" si="67"/>
        <v>0</v>
      </c>
      <c r="I104" s="285" t="e">
        <f t="shared" ref="I104" si="68">H104/G104*100</f>
        <v>#DIV/0!</v>
      </c>
    </row>
    <row r="105" spans="1:9" x14ac:dyDescent="0.25">
      <c r="A105" s="249" t="s">
        <v>182</v>
      </c>
      <c r="B105" s="250"/>
      <c r="C105" s="251"/>
      <c r="D105" s="117" t="s">
        <v>87</v>
      </c>
      <c r="E105" s="139">
        <f>1837.5/K1</f>
        <v>243.88</v>
      </c>
      <c r="F105" s="100">
        <v>0</v>
      </c>
      <c r="G105" s="77"/>
      <c r="H105" s="77"/>
      <c r="I105" s="78"/>
    </row>
    <row r="106" spans="1:9" x14ac:dyDescent="0.25">
      <c r="A106" s="281" t="s">
        <v>339</v>
      </c>
      <c r="B106" s="282"/>
      <c r="C106" s="283"/>
      <c r="D106" s="284" t="s">
        <v>447</v>
      </c>
      <c r="E106" s="285" t="e">
        <f>SUM(E111:E143)</f>
        <v>#DIV/0!</v>
      </c>
      <c r="F106" s="285">
        <f>F107</f>
        <v>520.66</v>
      </c>
      <c r="G106" s="285">
        <f t="shared" ref="G106:H106" si="69">G107</f>
        <v>0</v>
      </c>
      <c r="H106" s="285">
        <f t="shared" si="69"/>
        <v>0</v>
      </c>
      <c r="I106" s="285" t="e">
        <f t="shared" ref="I106" si="70">H106/G106*100</f>
        <v>#DIV/0!</v>
      </c>
    </row>
    <row r="107" spans="1:9" x14ac:dyDescent="0.25">
      <c r="A107" s="249" t="s">
        <v>183</v>
      </c>
      <c r="B107" s="250"/>
      <c r="C107" s="251"/>
      <c r="D107" s="117" t="s">
        <v>88</v>
      </c>
      <c r="E107" s="139">
        <f>1698.92/K1</f>
        <v>225.49</v>
      </c>
      <c r="F107" s="100">
        <v>520.66</v>
      </c>
      <c r="G107" s="77"/>
      <c r="H107" s="77"/>
      <c r="I107" s="78"/>
    </row>
    <row r="108" spans="1:9" x14ac:dyDescent="0.25">
      <c r="A108" s="258">
        <v>32</v>
      </c>
      <c r="B108" s="259"/>
      <c r="C108" s="260"/>
      <c r="D108" s="116" t="s">
        <v>36</v>
      </c>
      <c r="E108" s="138">
        <f>SUM(E110:E111)</f>
        <v>124.48</v>
      </c>
      <c r="F108" s="101">
        <f t="shared" ref="F108:I108" si="71">SUM(F110:F111)</f>
        <v>215.14</v>
      </c>
      <c r="G108" s="91">
        <f t="shared" si="71"/>
        <v>0</v>
      </c>
      <c r="H108" s="91">
        <f t="shared" si="71"/>
        <v>0</v>
      </c>
      <c r="I108" s="91" t="e">
        <f t="shared" ref="I108:I109" si="72">H108/G108*100</f>
        <v>#DIV/0!</v>
      </c>
    </row>
    <row r="109" spans="1:9" x14ac:dyDescent="0.25">
      <c r="A109" s="281" t="s">
        <v>345</v>
      </c>
      <c r="B109" s="282"/>
      <c r="C109" s="283"/>
      <c r="D109" s="284" t="s">
        <v>448</v>
      </c>
      <c r="E109" s="285" t="e">
        <f>SUM(E111:E148)</f>
        <v>#DIV/0!</v>
      </c>
      <c r="F109" s="285">
        <f>SUM(F110:F111)</f>
        <v>215.14</v>
      </c>
      <c r="G109" s="285">
        <f t="shared" ref="G109:H109" si="73">SUM(G110:G111)</f>
        <v>0</v>
      </c>
      <c r="H109" s="285">
        <f t="shared" si="73"/>
        <v>0</v>
      </c>
      <c r="I109" s="285" t="e">
        <f t="shared" si="72"/>
        <v>#DIV/0!</v>
      </c>
    </row>
    <row r="110" spans="1:9" x14ac:dyDescent="0.25">
      <c r="A110" s="249" t="s">
        <v>184</v>
      </c>
      <c r="B110" s="250"/>
      <c r="C110" s="251"/>
      <c r="D110" s="117" t="s">
        <v>58</v>
      </c>
      <c r="E110" s="139">
        <f>27.9/K1</f>
        <v>3.7</v>
      </c>
      <c r="F110" s="100">
        <v>7.96</v>
      </c>
      <c r="G110" s="77"/>
      <c r="H110" s="77"/>
      <c r="I110" s="78"/>
    </row>
    <row r="111" spans="1:9" x14ac:dyDescent="0.25">
      <c r="A111" s="249" t="s">
        <v>185</v>
      </c>
      <c r="B111" s="250"/>
      <c r="C111" s="251"/>
      <c r="D111" s="117" t="s">
        <v>89</v>
      </c>
      <c r="E111" s="139">
        <f>910.03/K1</f>
        <v>120.78</v>
      </c>
      <c r="F111" s="100">
        <v>207.18</v>
      </c>
      <c r="G111" s="77"/>
      <c r="H111" s="77"/>
      <c r="I111" s="78"/>
    </row>
    <row r="112" spans="1:9" ht="15" customHeight="1" x14ac:dyDescent="0.25">
      <c r="A112" s="252" t="s">
        <v>237</v>
      </c>
      <c r="B112" s="253"/>
      <c r="C112" s="254"/>
      <c r="D112" s="103" t="s">
        <v>130</v>
      </c>
      <c r="E112" s="136" t="e">
        <f>E113</f>
        <v>#DIV/0!</v>
      </c>
      <c r="F112" s="103">
        <f t="shared" ref="F112:I112" si="74">F113</f>
        <v>22050.67</v>
      </c>
      <c r="G112" s="89">
        <f t="shared" si="74"/>
        <v>0</v>
      </c>
      <c r="H112" s="89">
        <f t="shared" si="74"/>
        <v>0</v>
      </c>
      <c r="I112" s="89" t="e">
        <f t="shared" si="74"/>
        <v>#DIV/0!</v>
      </c>
    </row>
    <row r="113" spans="1:9" x14ac:dyDescent="0.25">
      <c r="A113" s="255">
        <v>3</v>
      </c>
      <c r="B113" s="256"/>
      <c r="C113" s="257"/>
      <c r="D113" s="112" t="s">
        <v>22</v>
      </c>
      <c r="E113" s="137" t="e">
        <f>E114+E121</f>
        <v>#DIV/0!</v>
      </c>
      <c r="F113" s="104">
        <f t="shared" ref="F113:I113" si="75">F114+F121</f>
        <v>22050.67</v>
      </c>
      <c r="G113" s="90">
        <f t="shared" si="75"/>
        <v>0</v>
      </c>
      <c r="H113" s="90">
        <f t="shared" si="75"/>
        <v>0</v>
      </c>
      <c r="I113" s="90" t="e">
        <f t="shared" si="75"/>
        <v>#DIV/0!</v>
      </c>
    </row>
    <row r="114" spans="1:9" x14ac:dyDescent="0.25">
      <c r="A114" s="258">
        <v>31</v>
      </c>
      <c r="B114" s="259"/>
      <c r="C114" s="260"/>
      <c r="D114" s="116" t="s">
        <v>23</v>
      </c>
      <c r="E114" s="138" t="e">
        <f>SUM(E116:E120)</f>
        <v>#DIV/0!</v>
      </c>
      <c r="F114" s="101">
        <f>F115+F117+F119</f>
        <v>20831.54</v>
      </c>
      <c r="G114" s="91">
        <f t="shared" ref="G114:I114" si="76">SUM(G116:G120)</f>
        <v>0</v>
      </c>
      <c r="H114" s="91">
        <f t="shared" si="76"/>
        <v>0</v>
      </c>
      <c r="I114" s="91" t="e">
        <f t="shared" si="76"/>
        <v>#DIV/0!</v>
      </c>
    </row>
    <row r="115" spans="1:9" x14ac:dyDescent="0.25">
      <c r="A115" s="281" t="s">
        <v>334</v>
      </c>
      <c r="B115" s="282"/>
      <c r="C115" s="283"/>
      <c r="D115" s="284" t="s">
        <v>446</v>
      </c>
      <c r="E115" s="285" t="e">
        <f>SUM(E120:E155)</f>
        <v>#DIV/0!</v>
      </c>
      <c r="F115" s="285">
        <f>F116</f>
        <v>17881.099999999999</v>
      </c>
      <c r="G115" s="285">
        <f t="shared" ref="G115:H115" si="77">G116</f>
        <v>0</v>
      </c>
      <c r="H115" s="285">
        <f t="shared" si="77"/>
        <v>0</v>
      </c>
      <c r="I115" s="285" t="e">
        <f t="shared" ref="I115" si="78">H115/G115*100</f>
        <v>#DIV/0!</v>
      </c>
    </row>
    <row r="116" spans="1:9" x14ac:dyDescent="0.25">
      <c r="A116" s="249" t="s">
        <v>181</v>
      </c>
      <c r="B116" s="250"/>
      <c r="C116" s="251"/>
      <c r="D116" s="117" t="s">
        <v>86</v>
      </c>
      <c r="E116" s="139">
        <f>58346.86/K1</f>
        <v>7743.96</v>
      </c>
      <c r="F116" s="100">
        <v>17881.099999999999</v>
      </c>
      <c r="G116" s="77"/>
      <c r="H116" s="77"/>
      <c r="I116" s="78"/>
    </row>
    <row r="117" spans="1:9" x14ac:dyDescent="0.25">
      <c r="A117" s="281" t="s">
        <v>337</v>
      </c>
      <c r="B117" s="282"/>
      <c r="C117" s="283"/>
      <c r="D117" s="284" t="s">
        <v>87</v>
      </c>
      <c r="E117" s="285" t="e">
        <f>SUM(E123:E159)</f>
        <v>#DIV/0!</v>
      </c>
      <c r="F117" s="285">
        <f>F118</f>
        <v>0</v>
      </c>
      <c r="G117" s="285">
        <f t="shared" ref="G117:H117" si="79">G118</f>
        <v>0</v>
      </c>
      <c r="H117" s="285">
        <f t="shared" si="79"/>
        <v>0</v>
      </c>
      <c r="I117" s="285" t="e">
        <f t="shared" ref="I117" si="80">H117/G117*100</f>
        <v>#DIV/0!</v>
      </c>
    </row>
    <row r="118" spans="1:9" x14ac:dyDescent="0.25">
      <c r="A118" s="249" t="s">
        <v>182</v>
      </c>
      <c r="B118" s="250"/>
      <c r="C118" s="251"/>
      <c r="D118" s="117" t="s">
        <v>87</v>
      </c>
      <c r="E118" s="139">
        <f>10412.5/K1</f>
        <v>1381.98</v>
      </c>
      <c r="F118" s="100">
        <v>0</v>
      </c>
      <c r="G118" s="77"/>
      <c r="H118" s="77"/>
      <c r="I118" s="78"/>
    </row>
    <row r="119" spans="1:9" x14ac:dyDescent="0.25">
      <c r="A119" s="281" t="s">
        <v>339</v>
      </c>
      <c r="B119" s="282"/>
      <c r="C119" s="283"/>
      <c r="D119" s="284" t="s">
        <v>447</v>
      </c>
      <c r="E119" s="285" t="e">
        <f>SUM(E125:E162)</f>
        <v>#DIV/0!</v>
      </c>
      <c r="F119" s="285">
        <f>F120</f>
        <v>2950.44</v>
      </c>
      <c r="G119" s="285">
        <f t="shared" ref="G119:H119" si="81">G120</f>
        <v>0</v>
      </c>
      <c r="H119" s="285">
        <f t="shared" si="81"/>
        <v>0</v>
      </c>
      <c r="I119" s="285" t="e">
        <f t="shared" ref="I119" si="82">H119/G119*100</f>
        <v>#DIV/0!</v>
      </c>
    </row>
    <row r="120" spans="1:9" x14ac:dyDescent="0.25">
      <c r="A120" s="249" t="s">
        <v>183</v>
      </c>
      <c r="B120" s="250"/>
      <c r="C120" s="251"/>
      <c r="D120" s="117" t="s">
        <v>88</v>
      </c>
      <c r="E120" s="139">
        <f>9627.25/K1</f>
        <v>1277.76</v>
      </c>
      <c r="F120" s="100">
        <v>2950.44</v>
      </c>
      <c r="G120" s="77"/>
      <c r="H120" s="77"/>
      <c r="I120" s="78"/>
    </row>
    <row r="121" spans="1:9" x14ac:dyDescent="0.25">
      <c r="A121" s="258">
        <v>32</v>
      </c>
      <c r="B121" s="259"/>
      <c r="C121" s="260"/>
      <c r="D121" s="116" t="s">
        <v>36</v>
      </c>
      <c r="E121" s="138">
        <f>SUM(E123:E124)</f>
        <v>705.41</v>
      </c>
      <c r="F121" s="101">
        <f t="shared" ref="F121:I121" si="83">SUM(F123:F124)</f>
        <v>1219.1300000000001</v>
      </c>
      <c r="G121" s="91">
        <f t="shared" si="83"/>
        <v>0</v>
      </c>
      <c r="H121" s="91">
        <f t="shared" si="83"/>
        <v>0</v>
      </c>
      <c r="I121" s="91">
        <f t="shared" si="83"/>
        <v>0</v>
      </c>
    </row>
    <row r="122" spans="1:9" x14ac:dyDescent="0.25">
      <c r="A122" s="281" t="s">
        <v>345</v>
      </c>
      <c r="B122" s="282"/>
      <c r="C122" s="283"/>
      <c r="D122" s="284" t="s">
        <v>448</v>
      </c>
      <c r="E122" s="285" t="e">
        <f>SUM(E124:E166)</f>
        <v>#DIV/0!</v>
      </c>
      <c r="F122" s="285">
        <f>SUM(F123:F124)</f>
        <v>1219.1300000000001</v>
      </c>
      <c r="G122" s="285">
        <f t="shared" ref="G122" si="84">SUM(G123:G124)</f>
        <v>0</v>
      </c>
      <c r="H122" s="285">
        <f t="shared" ref="H122" si="85">SUM(H123:H124)</f>
        <v>0</v>
      </c>
      <c r="I122" s="285" t="e">
        <f t="shared" ref="I122" si="86">H122/G122*100</f>
        <v>#DIV/0!</v>
      </c>
    </row>
    <row r="123" spans="1:9" x14ac:dyDescent="0.25">
      <c r="A123" s="249" t="s">
        <v>184</v>
      </c>
      <c r="B123" s="250"/>
      <c r="C123" s="251"/>
      <c r="D123" s="117" t="s">
        <v>58</v>
      </c>
      <c r="E123" s="139">
        <f>158.1/K1</f>
        <v>20.98</v>
      </c>
      <c r="F123" s="100">
        <v>45.14</v>
      </c>
      <c r="G123" s="77"/>
      <c r="H123" s="77"/>
      <c r="I123" s="78"/>
    </row>
    <row r="124" spans="1:9" x14ac:dyDescent="0.25">
      <c r="A124" s="249" t="s">
        <v>185</v>
      </c>
      <c r="B124" s="250"/>
      <c r="C124" s="251"/>
      <c r="D124" s="117" t="s">
        <v>89</v>
      </c>
      <c r="E124" s="139">
        <f>5156.81/K1</f>
        <v>684.43</v>
      </c>
      <c r="F124" s="100">
        <v>1173.99</v>
      </c>
      <c r="G124" s="77"/>
      <c r="H124" s="77"/>
      <c r="I124" s="78"/>
    </row>
    <row r="125" spans="1:9" ht="14.25" customHeight="1" x14ac:dyDescent="0.25">
      <c r="A125" s="261" t="s">
        <v>228</v>
      </c>
      <c r="B125" s="262"/>
      <c r="C125" s="263"/>
      <c r="D125" s="111" t="s">
        <v>227</v>
      </c>
      <c r="E125" s="135" t="e">
        <f>E126+E139</f>
        <v>#DIV/0!</v>
      </c>
      <c r="F125" s="88">
        <f t="shared" ref="F125:I125" si="87">F126+F139</f>
        <v>0</v>
      </c>
      <c r="G125" s="88">
        <f>G126+G139</f>
        <v>47898.86</v>
      </c>
      <c r="H125" s="88">
        <f>H126+H139</f>
        <v>42120.76</v>
      </c>
      <c r="I125" s="88">
        <f t="shared" ref="I125:I129" si="88">H125/G125*100</f>
        <v>87.94</v>
      </c>
    </row>
    <row r="126" spans="1:9" ht="15" customHeight="1" x14ac:dyDescent="0.25">
      <c r="A126" s="252" t="s">
        <v>124</v>
      </c>
      <c r="B126" s="253"/>
      <c r="C126" s="254"/>
      <c r="D126" s="103" t="s">
        <v>18</v>
      </c>
      <c r="E126" s="136" t="e">
        <f>E127</f>
        <v>#DIV/0!</v>
      </c>
      <c r="F126" s="89">
        <f t="shared" ref="F126:I126" si="89">F127</f>
        <v>0</v>
      </c>
      <c r="G126" s="89">
        <f t="shared" si="89"/>
        <v>6700.44</v>
      </c>
      <c r="H126" s="89">
        <f t="shared" si="89"/>
        <v>6318.13</v>
      </c>
      <c r="I126" s="89">
        <f t="shared" si="88"/>
        <v>94.29</v>
      </c>
    </row>
    <row r="127" spans="1:9" x14ac:dyDescent="0.25">
      <c r="A127" s="255">
        <v>3</v>
      </c>
      <c r="B127" s="256"/>
      <c r="C127" s="257"/>
      <c r="D127" s="112" t="s">
        <v>22</v>
      </c>
      <c r="E127" s="137" t="e">
        <f>E128+E135</f>
        <v>#DIV/0!</v>
      </c>
      <c r="F127" s="90">
        <f t="shared" ref="F127:I127" si="90">F128+F135</f>
        <v>0</v>
      </c>
      <c r="G127" s="90">
        <f t="shared" si="90"/>
        <v>6700.44</v>
      </c>
      <c r="H127" s="90">
        <f t="shared" si="90"/>
        <v>6318.13</v>
      </c>
      <c r="I127" s="90">
        <f t="shared" si="88"/>
        <v>94.29</v>
      </c>
    </row>
    <row r="128" spans="1:9" x14ac:dyDescent="0.25">
      <c r="A128" s="258">
        <v>31</v>
      </c>
      <c r="B128" s="259"/>
      <c r="C128" s="260"/>
      <c r="D128" s="116" t="s">
        <v>23</v>
      </c>
      <c r="E128" s="138" t="e">
        <f>SUM(E130:E134)</f>
        <v>#DIV/0!</v>
      </c>
      <c r="F128" s="91">
        <f>F129+F131+F133</f>
        <v>0</v>
      </c>
      <c r="G128" s="91">
        <f t="shared" ref="G128:H128" si="91">G129+G131+G133</f>
        <v>6119.94</v>
      </c>
      <c r="H128" s="91">
        <f t="shared" si="91"/>
        <v>5999.64</v>
      </c>
      <c r="I128" s="91">
        <f t="shared" si="88"/>
        <v>98.03</v>
      </c>
    </row>
    <row r="129" spans="1:9" x14ac:dyDescent="0.25">
      <c r="A129" s="281" t="s">
        <v>334</v>
      </c>
      <c r="B129" s="282"/>
      <c r="C129" s="283"/>
      <c r="D129" s="284" t="s">
        <v>446</v>
      </c>
      <c r="E129" s="285" t="e">
        <f>SUM(E134:E177)</f>
        <v>#DIV/0!</v>
      </c>
      <c r="F129" s="285">
        <f>F130</f>
        <v>0</v>
      </c>
      <c r="G129" s="285">
        <f t="shared" ref="G129" si="92">G130</f>
        <v>5806.86</v>
      </c>
      <c r="H129" s="285">
        <f t="shared" ref="H129" si="93">H130</f>
        <v>4681.04</v>
      </c>
      <c r="I129" s="285">
        <f t="shared" si="88"/>
        <v>80.61</v>
      </c>
    </row>
    <row r="130" spans="1:9" x14ac:dyDescent="0.25">
      <c r="A130" s="249" t="s">
        <v>181</v>
      </c>
      <c r="B130" s="250"/>
      <c r="C130" s="251"/>
      <c r="D130" s="117" t="s">
        <v>86</v>
      </c>
      <c r="E130" s="139"/>
      <c r="F130" s="100">
        <v>0</v>
      </c>
      <c r="G130" s="105">
        <v>5806.86</v>
      </c>
      <c r="H130" s="105">
        <v>4681.04</v>
      </c>
      <c r="I130" s="78"/>
    </row>
    <row r="131" spans="1:9" x14ac:dyDescent="0.25">
      <c r="A131" s="281" t="s">
        <v>337</v>
      </c>
      <c r="B131" s="282"/>
      <c r="C131" s="283"/>
      <c r="D131" s="284" t="s">
        <v>87</v>
      </c>
      <c r="E131" s="285" t="e">
        <f>SUM(E137:E179)</f>
        <v>#DIV/0!</v>
      </c>
      <c r="F131" s="285">
        <f>F132</f>
        <v>0</v>
      </c>
      <c r="G131" s="285">
        <f t="shared" ref="G131" si="94">G132</f>
        <v>279.33</v>
      </c>
      <c r="H131" s="285">
        <f t="shared" ref="H131" si="95">H132</f>
        <v>546.22</v>
      </c>
      <c r="I131" s="285">
        <f t="shared" ref="I131" si="96">H131/G131*100</f>
        <v>195.55</v>
      </c>
    </row>
    <row r="132" spans="1:9" x14ac:dyDescent="0.25">
      <c r="A132" s="249" t="s">
        <v>182</v>
      </c>
      <c r="B132" s="250"/>
      <c r="C132" s="251"/>
      <c r="D132" s="117" t="s">
        <v>87</v>
      </c>
      <c r="E132" s="139"/>
      <c r="F132" s="100">
        <v>0</v>
      </c>
      <c r="G132" s="105">
        <v>279.33</v>
      </c>
      <c r="H132" s="105">
        <v>546.22</v>
      </c>
      <c r="I132" s="78"/>
    </row>
    <row r="133" spans="1:9" x14ac:dyDescent="0.25">
      <c r="A133" s="281" t="s">
        <v>339</v>
      </c>
      <c r="B133" s="282"/>
      <c r="C133" s="283"/>
      <c r="D133" s="284" t="s">
        <v>447</v>
      </c>
      <c r="E133" s="285" t="e">
        <f>SUM(E139:E181)</f>
        <v>#DIV/0!</v>
      </c>
      <c r="F133" s="285">
        <f>F134</f>
        <v>0</v>
      </c>
      <c r="G133" s="285">
        <f t="shared" ref="G133" si="97">G134</f>
        <v>33.75</v>
      </c>
      <c r="H133" s="285">
        <f t="shared" ref="H133" si="98">H134</f>
        <v>772.38</v>
      </c>
      <c r="I133" s="285">
        <f t="shared" ref="I133" si="99">H133/G133*100</f>
        <v>2288.5300000000002</v>
      </c>
    </row>
    <row r="134" spans="1:9" x14ac:dyDescent="0.25">
      <c r="A134" s="249" t="s">
        <v>183</v>
      </c>
      <c r="B134" s="250"/>
      <c r="C134" s="251"/>
      <c r="D134" s="117" t="s">
        <v>88</v>
      </c>
      <c r="E134" s="139"/>
      <c r="F134" s="100">
        <v>0</v>
      </c>
      <c r="G134" s="105">
        <v>33.75</v>
      </c>
      <c r="H134" s="105">
        <v>772.38</v>
      </c>
      <c r="I134" s="78"/>
    </row>
    <row r="135" spans="1:9" x14ac:dyDescent="0.25">
      <c r="A135" s="258">
        <v>32</v>
      </c>
      <c r="B135" s="259"/>
      <c r="C135" s="260"/>
      <c r="D135" s="116" t="s">
        <v>36</v>
      </c>
      <c r="E135" s="138">
        <f>SUM(E137:E138)</f>
        <v>0</v>
      </c>
      <c r="F135" s="101">
        <f t="shared" ref="F135:I135" si="100">SUM(F137:F138)</f>
        <v>0</v>
      </c>
      <c r="G135" s="91">
        <f t="shared" si="100"/>
        <v>580.5</v>
      </c>
      <c r="H135" s="91">
        <f>SUM(H137:H138)</f>
        <v>318.49</v>
      </c>
      <c r="I135" s="91">
        <f t="shared" ref="I135:I136" si="101">H135/G135*100</f>
        <v>54.86</v>
      </c>
    </row>
    <row r="136" spans="1:9" x14ac:dyDescent="0.25">
      <c r="A136" s="281" t="s">
        <v>345</v>
      </c>
      <c r="B136" s="282"/>
      <c r="C136" s="283"/>
      <c r="D136" s="284" t="s">
        <v>448</v>
      </c>
      <c r="E136" s="285" t="e">
        <f>SUM(E138:E186)</f>
        <v>#DIV/0!</v>
      </c>
      <c r="F136" s="285">
        <f>SUM(F137:F138)</f>
        <v>0</v>
      </c>
      <c r="G136" s="285">
        <f t="shared" ref="G136" si="102">SUM(G137:G138)</f>
        <v>580.5</v>
      </c>
      <c r="H136" s="285">
        <f t="shared" ref="H136" si="103">SUM(H137:H138)</f>
        <v>318.49</v>
      </c>
      <c r="I136" s="285">
        <f t="shared" si="101"/>
        <v>54.86</v>
      </c>
    </row>
    <row r="137" spans="1:9" x14ac:dyDescent="0.25">
      <c r="A137" s="249" t="s">
        <v>184</v>
      </c>
      <c r="B137" s="250"/>
      <c r="C137" s="251"/>
      <c r="D137" s="117" t="s">
        <v>58</v>
      </c>
      <c r="E137" s="139"/>
      <c r="F137" s="100">
        <v>0</v>
      </c>
      <c r="G137" s="105">
        <v>67.5</v>
      </c>
      <c r="H137" s="105">
        <v>49.5</v>
      </c>
      <c r="I137" s="78"/>
    </row>
    <row r="138" spans="1:9" x14ac:dyDescent="0.25">
      <c r="A138" s="249" t="s">
        <v>185</v>
      </c>
      <c r="B138" s="250"/>
      <c r="C138" s="251"/>
      <c r="D138" s="117" t="s">
        <v>89</v>
      </c>
      <c r="E138" s="139"/>
      <c r="F138" s="100">
        <v>0</v>
      </c>
      <c r="G138" s="105">
        <v>513</v>
      </c>
      <c r="H138" s="105">
        <v>268.99</v>
      </c>
      <c r="I138" s="78"/>
    </row>
    <row r="139" spans="1:9" ht="15" customHeight="1" x14ac:dyDescent="0.25">
      <c r="A139" s="252" t="s">
        <v>237</v>
      </c>
      <c r="B139" s="253"/>
      <c r="C139" s="254"/>
      <c r="D139" s="103" t="s">
        <v>130</v>
      </c>
      <c r="E139" s="136" t="e">
        <f>E140</f>
        <v>#DIV/0!</v>
      </c>
      <c r="F139" s="89">
        <f t="shared" ref="F139:I139" si="104">F140</f>
        <v>0</v>
      </c>
      <c r="G139" s="89">
        <f t="shared" si="104"/>
        <v>41198.42</v>
      </c>
      <c r="H139" s="89">
        <f t="shared" si="104"/>
        <v>35802.629999999997</v>
      </c>
      <c r="I139" s="89">
        <f t="shared" ref="I139:I142" si="105">H139/G139*100</f>
        <v>86.9</v>
      </c>
    </row>
    <row r="140" spans="1:9" x14ac:dyDescent="0.25">
      <c r="A140" s="255">
        <v>3</v>
      </c>
      <c r="B140" s="256"/>
      <c r="C140" s="257"/>
      <c r="D140" s="112" t="s">
        <v>22</v>
      </c>
      <c r="E140" s="137" t="e">
        <f>E141+E148</f>
        <v>#DIV/0!</v>
      </c>
      <c r="F140" s="90">
        <f t="shared" ref="F140:I140" si="106">F141+F148</f>
        <v>0</v>
      </c>
      <c r="G140" s="90">
        <f t="shared" si="106"/>
        <v>41198.42</v>
      </c>
      <c r="H140" s="90">
        <f>H141+H148</f>
        <v>35802.629999999997</v>
      </c>
      <c r="I140" s="90">
        <f t="shared" si="105"/>
        <v>86.9</v>
      </c>
    </row>
    <row r="141" spans="1:9" x14ac:dyDescent="0.25">
      <c r="A141" s="258">
        <v>31</v>
      </c>
      <c r="B141" s="259"/>
      <c r="C141" s="260"/>
      <c r="D141" s="116" t="s">
        <v>23</v>
      </c>
      <c r="E141" s="138" t="e">
        <f>SUM(E143:E147)</f>
        <v>#DIV/0!</v>
      </c>
      <c r="F141" s="91">
        <f>F142+F144+F146</f>
        <v>0</v>
      </c>
      <c r="G141" s="91">
        <f t="shared" ref="G141:H141" si="107">G142+G144+G146</f>
        <v>39107.78</v>
      </c>
      <c r="H141" s="91">
        <f t="shared" si="107"/>
        <v>33997.85</v>
      </c>
      <c r="I141" s="91">
        <f t="shared" si="105"/>
        <v>86.93</v>
      </c>
    </row>
    <row r="142" spans="1:9" x14ac:dyDescent="0.25">
      <c r="A142" s="281" t="s">
        <v>334</v>
      </c>
      <c r="B142" s="282"/>
      <c r="C142" s="283"/>
      <c r="D142" s="284" t="s">
        <v>446</v>
      </c>
      <c r="E142" s="285" t="e">
        <f>SUM(E150:E194)</f>
        <v>#DIV/0!</v>
      </c>
      <c r="F142" s="285">
        <f>F143</f>
        <v>0</v>
      </c>
      <c r="G142" s="285">
        <f t="shared" ref="G142" si="108">G143</f>
        <v>32095.49</v>
      </c>
      <c r="H142" s="285">
        <f t="shared" ref="H142" si="109">H143</f>
        <v>26525.84</v>
      </c>
      <c r="I142" s="285">
        <f t="shared" si="105"/>
        <v>82.65</v>
      </c>
    </row>
    <row r="143" spans="1:9" x14ac:dyDescent="0.25">
      <c r="A143" s="249" t="s">
        <v>181</v>
      </c>
      <c r="B143" s="250"/>
      <c r="C143" s="251"/>
      <c r="D143" s="117" t="s">
        <v>86</v>
      </c>
      <c r="E143" s="139"/>
      <c r="F143" s="105">
        <v>0</v>
      </c>
      <c r="G143" s="105">
        <v>32095.49</v>
      </c>
      <c r="H143" s="105">
        <v>26525.84</v>
      </c>
      <c r="I143" s="78"/>
    </row>
    <row r="144" spans="1:9" x14ac:dyDescent="0.25">
      <c r="A144" s="281" t="s">
        <v>337</v>
      </c>
      <c r="B144" s="282"/>
      <c r="C144" s="283"/>
      <c r="D144" s="284" t="s">
        <v>87</v>
      </c>
      <c r="E144" s="285" t="e">
        <f>SUM(E152:E196)</f>
        <v>#DIV/0!</v>
      </c>
      <c r="F144" s="285">
        <f>F145</f>
        <v>0</v>
      </c>
      <c r="G144" s="285">
        <f t="shared" ref="G144" si="110">G145</f>
        <v>1582.83</v>
      </c>
      <c r="H144" s="285">
        <f t="shared" ref="H144" si="111">H145</f>
        <v>3095.22</v>
      </c>
      <c r="I144" s="285">
        <f t="shared" ref="I144" si="112">H144/G144*100</f>
        <v>195.55</v>
      </c>
    </row>
    <row r="145" spans="1:9" x14ac:dyDescent="0.25">
      <c r="A145" s="249" t="s">
        <v>182</v>
      </c>
      <c r="B145" s="250"/>
      <c r="C145" s="251"/>
      <c r="D145" s="117" t="s">
        <v>87</v>
      </c>
      <c r="E145" s="139"/>
      <c r="F145" s="105">
        <v>0</v>
      </c>
      <c r="G145" s="105">
        <v>1582.83</v>
      </c>
      <c r="H145" s="105">
        <v>3095.22</v>
      </c>
      <c r="I145" s="78"/>
    </row>
    <row r="146" spans="1:9" x14ac:dyDescent="0.25">
      <c r="A146" s="281" t="s">
        <v>339</v>
      </c>
      <c r="B146" s="282"/>
      <c r="C146" s="283"/>
      <c r="D146" s="284" t="s">
        <v>447</v>
      </c>
      <c r="E146" s="285" t="e">
        <f>SUM(E153:E198)</f>
        <v>#DIV/0!</v>
      </c>
      <c r="F146" s="285">
        <f>F147</f>
        <v>0</v>
      </c>
      <c r="G146" s="285">
        <f t="shared" ref="G146" si="113">G147</f>
        <v>5429.46</v>
      </c>
      <c r="H146" s="285">
        <f t="shared" ref="H146" si="114">H147</f>
        <v>4376.79</v>
      </c>
      <c r="I146" s="285">
        <f t="shared" ref="I146" si="115">H146/G146*100</f>
        <v>80.61</v>
      </c>
    </row>
    <row r="147" spans="1:9" x14ac:dyDescent="0.25">
      <c r="A147" s="249" t="s">
        <v>183</v>
      </c>
      <c r="B147" s="250"/>
      <c r="C147" s="251"/>
      <c r="D147" s="117" t="s">
        <v>88</v>
      </c>
      <c r="E147" s="139"/>
      <c r="F147" s="105">
        <v>0</v>
      </c>
      <c r="G147" s="105">
        <v>5429.46</v>
      </c>
      <c r="H147" s="105">
        <v>4376.79</v>
      </c>
      <c r="I147" s="78"/>
    </row>
    <row r="148" spans="1:9" x14ac:dyDescent="0.25">
      <c r="A148" s="258">
        <v>32</v>
      </c>
      <c r="B148" s="259"/>
      <c r="C148" s="260"/>
      <c r="D148" s="116" t="s">
        <v>36</v>
      </c>
      <c r="E148" s="138">
        <f>SUM(E150:E151)</f>
        <v>0</v>
      </c>
      <c r="F148" s="101">
        <f t="shared" ref="F148:I148" si="116">SUM(F150:F151)</f>
        <v>0</v>
      </c>
      <c r="G148" s="91">
        <f t="shared" si="116"/>
        <v>2090.64</v>
      </c>
      <c r="H148" s="91">
        <f t="shared" si="116"/>
        <v>1804.78</v>
      </c>
      <c r="I148" s="91">
        <f t="shared" ref="I148:I149" si="117">H148/G148*100</f>
        <v>86.33</v>
      </c>
    </row>
    <row r="149" spans="1:9" x14ac:dyDescent="0.25">
      <c r="A149" s="281" t="s">
        <v>345</v>
      </c>
      <c r="B149" s="282"/>
      <c r="C149" s="283"/>
      <c r="D149" s="284" t="s">
        <v>448</v>
      </c>
      <c r="E149" s="285" t="e">
        <f>SUM(E151:E201)</f>
        <v>#DIV/0!</v>
      </c>
      <c r="F149" s="285">
        <f>SUM(F150:F151)</f>
        <v>0</v>
      </c>
      <c r="G149" s="285">
        <f t="shared" ref="G149" si="118">SUM(G150:G151)</f>
        <v>2090.64</v>
      </c>
      <c r="H149" s="285">
        <f t="shared" ref="H149" si="119">SUM(H150:H151)</f>
        <v>1804.78</v>
      </c>
      <c r="I149" s="285">
        <f t="shared" si="117"/>
        <v>86.33</v>
      </c>
    </row>
    <row r="150" spans="1:9" x14ac:dyDescent="0.25">
      <c r="A150" s="249" t="s">
        <v>184</v>
      </c>
      <c r="B150" s="250"/>
      <c r="C150" s="251"/>
      <c r="D150" s="117" t="s">
        <v>58</v>
      </c>
      <c r="E150" s="139"/>
      <c r="F150" s="100">
        <v>0</v>
      </c>
      <c r="G150" s="105">
        <v>191.25</v>
      </c>
      <c r="H150" s="105">
        <v>280.5</v>
      </c>
      <c r="I150" s="78"/>
    </row>
    <row r="151" spans="1:9" x14ac:dyDescent="0.25">
      <c r="A151" s="249" t="s">
        <v>185</v>
      </c>
      <c r="B151" s="250"/>
      <c r="C151" s="251"/>
      <c r="D151" s="117" t="s">
        <v>89</v>
      </c>
      <c r="E151" s="139"/>
      <c r="F151" s="100">
        <v>0</v>
      </c>
      <c r="G151" s="105">
        <v>1899.39</v>
      </c>
      <c r="H151" s="105">
        <v>1524.28</v>
      </c>
      <c r="I151" s="78"/>
    </row>
    <row r="152" spans="1:9" ht="14.25" customHeight="1" x14ac:dyDescent="0.25">
      <c r="A152" s="261" t="s">
        <v>259</v>
      </c>
      <c r="B152" s="262"/>
      <c r="C152" s="263"/>
      <c r="D152" s="111" t="s">
        <v>230</v>
      </c>
      <c r="E152" s="135" t="e">
        <f>E153+E166</f>
        <v>#DIV/0!</v>
      </c>
      <c r="F152" s="88">
        <f t="shared" ref="F152:I152" si="120">F153+F166</f>
        <v>0</v>
      </c>
      <c r="G152" s="88">
        <f>G153+G166</f>
        <v>32947.79</v>
      </c>
      <c r="H152" s="88">
        <f>H153+H166</f>
        <v>0</v>
      </c>
      <c r="I152" s="88">
        <f t="shared" ref="I152:I156" si="121">H152/G152*100</f>
        <v>0</v>
      </c>
    </row>
    <row r="153" spans="1:9" ht="15" customHeight="1" x14ac:dyDescent="0.25">
      <c r="A153" s="252" t="s">
        <v>124</v>
      </c>
      <c r="B153" s="253"/>
      <c r="C153" s="254"/>
      <c r="D153" s="103" t="s">
        <v>18</v>
      </c>
      <c r="E153" s="136" t="e">
        <f>E154</f>
        <v>#DIV/0!</v>
      </c>
      <c r="F153" s="89">
        <f t="shared" ref="F153:I153" si="122">F154</f>
        <v>0</v>
      </c>
      <c r="G153" s="89">
        <f t="shared" si="122"/>
        <v>4942.18</v>
      </c>
      <c r="H153" s="89">
        <f t="shared" si="122"/>
        <v>0</v>
      </c>
      <c r="I153" s="89">
        <f t="shared" si="121"/>
        <v>0</v>
      </c>
    </row>
    <row r="154" spans="1:9" x14ac:dyDescent="0.25">
      <c r="A154" s="255">
        <v>3</v>
      </c>
      <c r="B154" s="256"/>
      <c r="C154" s="257"/>
      <c r="D154" s="112" t="s">
        <v>22</v>
      </c>
      <c r="E154" s="137" t="e">
        <f>E155+E162</f>
        <v>#DIV/0!</v>
      </c>
      <c r="F154" s="90">
        <f t="shared" ref="F154:I154" si="123">F155+F162</f>
        <v>0</v>
      </c>
      <c r="G154" s="90">
        <f>G155+G162</f>
        <v>4942.18</v>
      </c>
      <c r="H154" s="90">
        <f>H155+H162</f>
        <v>0</v>
      </c>
      <c r="I154" s="90">
        <f t="shared" si="121"/>
        <v>0</v>
      </c>
    </row>
    <row r="155" spans="1:9" x14ac:dyDescent="0.25">
      <c r="A155" s="258">
        <v>31</v>
      </c>
      <c r="B155" s="259"/>
      <c r="C155" s="260"/>
      <c r="D155" s="116" t="s">
        <v>23</v>
      </c>
      <c r="E155" s="138" t="e">
        <f>SUM(E157:E161)</f>
        <v>#DIV/0!</v>
      </c>
      <c r="F155" s="91">
        <f>F156+F158+F160</f>
        <v>0</v>
      </c>
      <c r="G155" s="91">
        <f t="shared" ref="G155:H155" si="124">G156+G158+G160</f>
        <v>4696.22</v>
      </c>
      <c r="H155" s="91">
        <f t="shared" si="124"/>
        <v>0</v>
      </c>
      <c r="I155" s="91">
        <f t="shared" si="121"/>
        <v>0</v>
      </c>
    </row>
    <row r="156" spans="1:9" x14ac:dyDescent="0.25">
      <c r="A156" s="281" t="s">
        <v>334</v>
      </c>
      <c r="B156" s="282"/>
      <c r="C156" s="283"/>
      <c r="D156" s="284" t="s">
        <v>446</v>
      </c>
      <c r="E156" s="285" t="e">
        <f>SUM(E167:E208)</f>
        <v>#DIV/0!</v>
      </c>
      <c r="F156" s="285">
        <f>F157</f>
        <v>0</v>
      </c>
      <c r="G156" s="285">
        <f t="shared" ref="G156" si="125">G157</f>
        <v>3871.24</v>
      </c>
      <c r="H156" s="285">
        <f t="shared" ref="H156" si="126">H157</f>
        <v>0</v>
      </c>
      <c r="I156" s="285">
        <f t="shared" si="121"/>
        <v>0</v>
      </c>
    </row>
    <row r="157" spans="1:9" x14ac:dyDescent="0.25">
      <c r="A157" s="249" t="s">
        <v>181</v>
      </c>
      <c r="B157" s="250"/>
      <c r="C157" s="251"/>
      <c r="D157" s="117" t="s">
        <v>86</v>
      </c>
      <c r="E157" s="139"/>
      <c r="F157" s="77"/>
      <c r="G157" s="105">
        <v>3871.24</v>
      </c>
      <c r="H157" s="105">
        <v>0</v>
      </c>
      <c r="I157" s="78"/>
    </row>
    <row r="158" spans="1:9" x14ac:dyDescent="0.25">
      <c r="A158" s="281" t="s">
        <v>337</v>
      </c>
      <c r="B158" s="282"/>
      <c r="C158" s="283"/>
      <c r="D158" s="284" t="s">
        <v>87</v>
      </c>
      <c r="E158" s="285" t="e">
        <f>SUM(E168:E210)</f>
        <v>#DIV/0!</v>
      </c>
      <c r="F158" s="285">
        <f>F159</f>
        <v>0</v>
      </c>
      <c r="G158" s="285">
        <f t="shared" ref="G158" si="127">G159</f>
        <v>186.22</v>
      </c>
      <c r="H158" s="285">
        <f t="shared" ref="H158" si="128">H159</f>
        <v>0</v>
      </c>
      <c r="I158" s="285">
        <f t="shared" ref="I158" si="129">H158/G158*100</f>
        <v>0</v>
      </c>
    </row>
    <row r="159" spans="1:9" x14ac:dyDescent="0.25">
      <c r="A159" s="249" t="s">
        <v>182</v>
      </c>
      <c r="B159" s="250"/>
      <c r="C159" s="251"/>
      <c r="D159" s="117" t="s">
        <v>87</v>
      </c>
      <c r="E159" s="139"/>
      <c r="F159" s="77"/>
      <c r="G159" s="105">
        <v>186.22</v>
      </c>
      <c r="H159" s="105">
        <v>0</v>
      </c>
      <c r="I159" s="78"/>
    </row>
    <row r="160" spans="1:9" x14ac:dyDescent="0.25">
      <c r="A160" s="281" t="s">
        <v>339</v>
      </c>
      <c r="B160" s="282"/>
      <c r="C160" s="283"/>
      <c r="D160" s="284" t="s">
        <v>447</v>
      </c>
      <c r="E160" s="285" t="e">
        <f>SUM(E168:E212)</f>
        <v>#DIV/0!</v>
      </c>
      <c r="F160" s="285">
        <f>F161</f>
        <v>0</v>
      </c>
      <c r="G160" s="285">
        <f t="shared" ref="G160" si="130">G161</f>
        <v>638.76</v>
      </c>
      <c r="H160" s="285">
        <f t="shared" ref="H160" si="131">H161</f>
        <v>0</v>
      </c>
      <c r="I160" s="285">
        <f t="shared" ref="I160" si="132">H160/G160*100</f>
        <v>0</v>
      </c>
    </row>
    <row r="161" spans="1:9" x14ac:dyDescent="0.25">
      <c r="A161" s="249" t="s">
        <v>183</v>
      </c>
      <c r="B161" s="250"/>
      <c r="C161" s="251"/>
      <c r="D161" s="117" t="s">
        <v>88</v>
      </c>
      <c r="E161" s="139"/>
      <c r="F161" s="77"/>
      <c r="G161" s="105">
        <v>638.76</v>
      </c>
      <c r="H161" s="105">
        <v>0</v>
      </c>
      <c r="I161" s="78"/>
    </row>
    <row r="162" spans="1:9" x14ac:dyDescent="0.25">
      <c r="A162" s="258">
        <v>32</v>
      </c>
      <c r="B162" s="259"/>
      <c r="C162" s="260"/>
      <c r="D162" s="116" t="s">
        <v>36</v>
      </c>
      <c r="E162" s="138">
        <f>SUM(E164:E165)</f>
        <v>0</v>
      </c>
      <c r="F162" s="91">
        <f t="shared" ref="F162:I162" si="133">SUM(F164:F165)</f>
        <v>0</v>
      </c>
      <c r="G162" s="91">
        <f t="shared" si="133"/>
        <v>245.96</v>
      </c>
      <c r="H162" s="91">
        <f t="shared" si="133"/>
        <v>0</v>
      </c>
      <c r="I162" s="91">
        <f t="shared" ref="I162:I163" si="134">H162/G162*100</f>
        <v>0</v>
      </c>
    </row>
    <row r="163" spans="1:9" x14ac:dyDescent="0.25">
      <c r="A163" s="281" t="s">
        <v>345</v>
      </c>
      <c r="B163" s="282"/>
      <c r="C163" s="283"/>
      <c r="D163" s="284" t="s">
        <v>448</v>
      </c>
      <c r="E163" s="285" t="e">
        <f>SUM(E165:E215)</f>
        <v>#DIV/0!</v>
      </c>
      <c r="F163" s="285">
        <f>SUM(F164:F165)</f>
        <v>0</v>
      </c>
      <c r="G163" s="285">
        <f t="shared" ref="G163" si="135">SUM(G164:G165)</f>
        <v>245.96</v>
      </c>
      <c r="H163" s="285">
        <f t="shared" ref="H163" si="136">SUM(H164:H165)</f>
        <v>0</v>
      </c>
      <c r="I163" s="285">
        <f t="shared" si="134"/>
        <v>0</v>
      </c>
    </row>
    <row r="164" spans="1:9" x14ac:dyDescent="0.25">
      <c r="A164" s="249" t="s">
        <v>184</v>
      </c>
      <c r="B164" s="250"/>
      <c r="C164" s="251"/>
      <c r="D164" s="117" t="s">
        <v>58</v>
      </c>
      <c r="E164" s="139"/>
      <c r="F164" s="77"/>
      <c r="G164" s="105">
        <v>22.5</v>
      </c>
      <c r="H164" s="105">
        <v>0</v>
      </c>
      <c r="I164" s="78"/>
    </row>
    <row r="165" spans="1:9" x14ac:dyDescent="0.25">
      <c r="A165" s="249" t="s">
        <v>185</v>
      </c>
      <c r="B165" s="250"/>
      <c r="C165" s="251"/>
      <c r="D165" s="117" t="s">
        <v>89</v>
      </c>
      <c r="E165" s="139"/>
      <c r="F165" s="77"/>
      <c r="G165" s="105">
        <v>223.46</v>
      </c>
      <c r="H165" s="105">
        <v>0</v>
      </c>
      <c r="I165" s="78"/>
    </row>
    <row r="166" spans="1:9" ht="15" customHeight="1" x14ac:dyDescent="0.25">
      <c r="A166" s="252" t="s">
        <v>237</v>
      </c>
      <c r="B166" s="253"/>
      <c r="C166" s="254"/>
      <c r="D166" s="103" t="s">
        <v>130</v>
      </c>
      <c r="E166" s="136" t="e">
        <f>E167</f>
        <v>#DIV/0!</v>
      </c>
      <c r="F166" s="89">
        <f t="shared" ref="F166:I166" si="137">F167</f>
        <v>0</v>
      </c>
      <c r="G166" s="89">
        <f t="shared" si="137"/>
        <v>28005.61</v>
      </c>
      <c r="H166" s="89">
        <f t="shared" si="137"/>
        <v>0</v>
      </c>
      <c r="I166" s="89">
        <f t="shared" ref="I166:I169" si="138">H166/G166*100</f>
        <v>0</v>
      </c>
    </row>
    <row r="167" spans="1:9" x14ac:dyDescent="0.25">
      <c r="A167" s="255">
        <v>3</v>
      </c>
      <c r="B167" s="256"/>
      <c r="C167" s="257"/>
      <c r="D167" s="112" t="s">
        <v>22</v>
      </c>
      <c r="E167" s="137" t="e">
        <f>E168+E175</f>
        <v>#DIV/0!</v>
      </c>
      <c r="F167" s="90">
        <f t="shared" ref="F167:I167" si="139">F168+F175</f>
        <v>0</v>
      </c>
      <c r="G167" s="90">
        <f>G168+G175</f>
        <v>28005.61</v>
      </c>
      <c r="H167" s="90">
        <f>H168+H175</f>
        <v>0</v>
      </c>
      <c r="I167" s="90">
        <f t="shared" si="138"/>
        <v>0</v>
      </c>
    </row>
    <row r="168" spans="1:9" x14ac:dyDescent="0.25">
      <c r="A168" s="258">
        <v>31</v>
      </c>
      <c r="B168" s="259"/>
      <c r="C168" s="260"/>
      <c r="D168" s="116" t="s">
        <v>23</v>
      </c>
      <c r="E168" s="138" t="e">
        <f>SUM(E170:E174)</f>
        <v>#DIV/0!</v>
      </c>
      <c r="F168" s="91">
        <f>F169+F171+F173</f>
        <v>0</v>
      </c>
      <c r="G168" s="91">
        <f t="shared" ref="G168:H168" si="140">G169+G171+G173</f>
        <v>26611.85</v>
      </c>
      <c r="H168" s="91">
        <f t="shared" si="140"/>
        <v>0</v>
      </c>
      <c r="I168" s="91">
        <f t="shared" si="138"/>
        <v>0</v>
      </c>
    </row>
    <row r="169" spans="1:9" x14ac:dyDescent="0.25">
      <c r="A169" s="281" t="s">
        <v>334</v>
      </c>
      <c r="B169" s="282"/>
      <c r="C169" s="283"/>
      <c r="D169" s="284" t="s">
        <v>446</v>
      </c>
      <c r="E169" s="285" t="e">
        <f>SUM(E184:E221)</f>
        <v>#DIV/0!</v>
      </c>
      <c r="F169" s="285">
        <f>F170</f>
        <v>0</v>
      </c>
      <c r="G169" s="285">
        <f t="shared" ref="G169" si="141">G170</f>
        <v>21936.99</v>
      </c>
      <c r="H169" s="285">
        <f t="shared" ref="H169" si="142">H170</f>
        <v>0</v>
      </c>
      <c r="I169" s="285">
        <f t="shared" si="138"/>
        <v>0</v>
      </c>
    </row>
    <row r="170" spans="1:9" x14ac:dyDescent="0.25">
      <c r="A170" s="249" t="s">
        <v>181</v>
      </c>
      <c r="B170" s="250"/>
      <c r="C170" s="251"/>
      <c r="D170" s="117" t="s">
        <v>86</v>
      </c>
      <c r="E170" s="139"/>
      <c r="F170" s="77"/>
      <c r="G170" s="105">
        <v>21936.99</v>
      </c>
      <c r="H170" s="105">
        <v>0</v>
      </c>
      <c r="I170" s="78"/>
    </row>
    <row r="171" spans="1:9" x14ac:dyDescent="0.25">
      <c r="A171" s="281" t="s">
        <v>337</v>
      </c>
      <c r="B171" s="282"/>
      <c r="C171" s="283"/>
      <c r="D171" s="284" t="s">
        <v>87</v>
      </c>
      <c r="E171" s="285" t="e">
        <f>SUM(E184:E223)</f>
        <v>#DIV/0!</v>
      </c>
      <c r="F171" s="285">
        <f>F172</f>
        <v>0</v>
      </c>
      <c r="G171" s="285">
        <f t="shared" ref="G171" si="143">G172</f>
        <v>1055.22</v>
      </c>
      <c r="H171" s="285">
        <f t="shared" ref="H171" si="144">H172</f>
        <v>0</v>
      </c>
      <c r="I171" s="285">
        <f t="shared" ref="I171" si="145">H171/G171*100</f>
        <v>0</v>
      </c>
    </row>
    <row r="172" spans="1:9" x14ac:dyDescent="0.25">
      <c r="A172" s="249" t="s">
        <v>182</v>
      </c>
      <c r="B172" s="250"/>
      <c r="C172" s="251"/>
      <c r="D172" s="117" t="s">
        <v>87</v>
      </c>
      <c r="E172" s="139"/>
      <c r="F172" s="77"/>
      <c r="G172" s="105">
        <v>1055.22</v>
      </c>
      <c r="H172" s="105">
        <v>0</v>
      </c>
      <c r="I172" s="78"/>
    </row>
    <row r="173" spans="1:9" x14ac:dyDescent="0.25">
      <c r="A173" s="281" t="s">
        <v>339</v>
      </c>
      <c r="B173" s="282"/>
      <c r="C173" s="283"/>
      <c r="D173" s="284" t="s">
        <v>447</v>
      </c>
      <c r="E173" s="285" t="e">
        <f>SUM(E182:E225)</f>
        <v>#DIV/0!</v>
      </c>
      <c r="F173" s="285">
        <f>F174</f>
        <v>0</v>
      </c>
      <c r="G173" s="285">
        <f t="shared" ref="G173" si="146">G174</f>
        <v>3619.64</v>
      </c>
      <c r="H173" s="285">
        <f t="shared" ref="H173" si="147">H174</f>
        <v>0</v>
      </c>
      <c r="I173" s="285">
        <f t="shared" ref="I173" si="148">H173/G173*100</f>
        <v>0</v>
      </c>
    </row>
    <row r="174" spans="1:9" x14ac:dyDescent="0.25">
      <c r="A174" s="249" t="s">
        <v>183</v>
      </c>
      <c r="B174" s="250"/>
      <c r="C174" s="251"/>
      <c r="D174" s="117" t="s">
        <v>88</v>
      </c>
      <c r="E174" s="139"/>
      <c r="F174" s="77"/>
      <c r="G174" s="105">
        <v>3619.64</v>
      </c>
      <c r="H174" s="105">
        <v>0</v>
      </c>
      <c r="I174" s="78"/>
    </row>
    <row r="175" spans="1:9" x14ac:dyDescent="0.25">
      <c r="A175" s="258">
        <v>32</v>
      </c>
      <c r="B175" s="259"/>
      <c r="C175" s="260"/>
      <c r="D175" s="116" t="s">
        <v>36</v>
      </c>
      <c r="E175" s="138">
        <f>SUM(E177:E178)</f>
        <v>0</v>
      </c>
      <c r="F175" s="91">
        <f t="shared" ref="F175:I175" si="149">SUM(F177:F178)</f>
        <v>0</v>
      </c>
      <c r="G175" s="91">
        <f t="shared" si="149"/>
        <v>1393.76</v>
      </c>
      <c r="H175" s="91">
        <f t="shared" si="149"/>
        <v>0</v>
      </c>
      <c r="I175" s="91">
        <f t="shared" ref="I175:I176" si="150">H175/G175*100</f>
        <v>0</v>
      </c>
    </row>
    <row r="176" spans="1:9" x14ac:dyDescent="0.25">
      <c r="A176" s="281" t="s">
        <v>345</v>
      </c>
      <c r="B176" s="282"/>
      <c r="C176" s="283"/>
      <c r="D176" s="284" t="s">
        <v>448</v>
      </c>
      <c r="E176" s="285" t="e">
        <f>SUM(E178:E229)</f>
        <v>#DIV/0!</v>
      </c>
      <c r="F176" s="285">
        <f>SUM(F177:F178)</f>
        <v>0</v>
      </c>
      <c r="G176" s="285">
        <f t="shared" ref="G176" si="151">SUM(G177:G178)</f>
        <v>1393.76</v>
      </c>
      <c r="H176" s="285">
        <f t="shared" ref="H176" si="152">SUM(H177:H178)</f>
        <v>0</v>
      </c>
      <c r="I176" s="285">
        <f t="shared" si="150"/>
        <v>0</v>
      </c>
    </row>
    <row r="177" spans="1:9" x14ac:dyDescent="0.25">
      <c r="A177" s="249" t="s">
        <v>184</v>
      </c>
      <c r="B177" s="250"/>
      <c r="C177" s="251"/>
      <c r="D177" s="117" t="s">
        <v>58</v>
      </c>
      <c r="E177" s="139"/>
      <c r="F177" s="77"/>
      <c r="G177" s="105">
        <v>127.5</v>
      </c>
      <c r="H177" s="105">
        <v>0</v>
      </c>
      <c r="I177" s="78"/>
    </row>
    <row r="178" spans="1:9" x14ac:dyDescent="0.25">
      <c r="A178" s="249" t="s">
        <v>185</v>
      </c>
      <c r="B178" s="250"/>
      <c r="C178" s="251"/>
      <c r="D178" s="117" t="s">
        <v>89</v>
      </c>
      <c r="E178" s="139"/>
      <c r="F178" s="77"/>
      <c r="G178" s="105">
        <v>1266.26</v>
      </c>
      <c r="H178" s="105">
        <v>0</v>
      </c>
      <c r="I178" s="78"/>
    </row>
    <row r="179" spans="1:9" ht="14.25" hidden="1" customHeight="1" x14ac:dyDescent="0.25">
      <c r="A179" s="261" t="s">
        <v>259</v>
      </c>
      <c r="B179" s="262"/>
      <c r="C179" s="263"/>
      <c r="D179" s="111" t="s">
        <v>261</v>
      </c>
      <c r="E179" s="135" t="e">
        <f>E180+E193</f>
        <v>#DIV/0!</v>
      </c>
      <c r="F179" s="88">
        <f>F180+F193</f>
        <v>0</v>
      </c>
      <c r="G179" s="88">
        <f>G180+G193</f>
        <v>0</v>
      </c>
      <c r="H179" s="88">
        <f>H180+H193</f>
        <v>0</v>
      </c>
      <c r="I179" s="88" t="e">
        <f>I180+I193</f>
        <v>#DIV/0!</v>
      </c>
    </row>
    <row r="180" spans="1:9" ht="15" hidden="1" customHeight="1" x14ac:dyDescent="0.25">
      <c r="A180" s="252" t="s">
        <v>124</v>
      </c>
      <c r="B180" s="253"/>
      <c r="C180" s="254"/>
      <c r="D180" s="103" t="s">
        <v>18</v>
      </c>
      <c r="E180" s="136" t="e">
        <f>E181</f>
        <v>#DIV/0!</v>
      </c>
      <c r="F180" s="89">
        <f t="shared" ref="F180:I180" si="153">F181</f>
        <v>0</v>
      </c>
      <c r="G180" s="89">
        <f t="shared" si="153"/>
        <v>0</v>
      </c>
      <c r="H180" s="89">
        <f t="shared" si="153"/>
        <v>0</v>
      </c>
      <c r="I180" s="89" t="e">
        <f t="shared" si="153"/>
        <v>#DIV/0!</v>
      </c>
    </row>
    <row r="181" spans="1:9" hidden="1" x14ac:dyDescent="0.25">
      <c r="A181" s="255">
        <v>3</v>
      </c>
      <c r="B181" s="256"/>
      <c r="C181" s="257"/>
      <c r="D181" s="112" t="s">
        <v>22</v>
      </c>
      <c r="E181" s="137" t="e">
        <f>E182+E189</f>
        <v>#DIV/0!</v>
      </c>
      <c r="F181" s="90">
        <f>F182+F189</f>
        <v>0</v>
      </c>
      <c r="G181" s="90">
        <f>G182+G189</f>
        <v>0</v>
      </c>
      <c r="H181" s="90">
        <f>H182+H189</f>
        <v>0</v>
      </c>
      <c r="I181" s="90" t="e">
        <f>I182+I189</f>
        <v>#DIV/0!</v>
      </c>
    </row>
    <row r="182" spans="1:9" hidden="1" x14ac:dyDescent="0.25">
      <c r="A182" s="258">
        <v>31</v>
      </c>
      <c r="B182" s="259"/>
      <c r="C182" s="260"/>
      <c r="D182" s="116" t="s">
        <v>23</v>
      </c>
      <c r="E182" s="138" t="e">
        <f>SUM(E184:E188)</f>
        <v>#DIV/0!</v>
      </c>
      <c r="F182" s="91">
        <f>F183+F185+F187</f>
        <v>0</v>
      </c>
      <c r="G182" s="91">
        <f t="shared" ref="G182:H182" si="154">G183+G185+G187</f>
        <v>0</v>
      </c>
      <c r="H182" s="91">
        <f t="shared" si="154"/>
        <v>0</v>
      </c>
      <c r="I182" s="91" t="e">
        <f t="shared" ref="I182" si="155">SUM(I184:I188)</f>
        <v>#DIV/0!</v>
      </c>
    </row>
    <row r="183" spans="1:9" hidden="1" x14ac:dyDescent="0.25">
      <c r="A183" s="281" t="s">
        <v>334</v>
      </c>
      <c r="B183" s="282"/>
      <c r="C183" s="283"/>
      <c r="D183" s="284" t="s">
        <v>446</v>
      </c>
      <c r="E183" s="285" t="e">
        <f>SUM(E200:E236)</f>
        <v>#DIV/0!</v>
      </c>
      <c r="F183" s="285">
        <f>F184</f>
        <v>0</v>
      </c>
      <c r="G183" s="285">
        <f t="shared" ref="G183" si="156">G184</f>
        <v>0</v>
      </c>
      <c r="H183" s="285">
        <f t="shared" ref="H183" si="157">H184</f>
        <v>0</v>
      </c>
      <c r="I183" s="285" t="e">
        <f t="shared" ref="I183" si="158">H183/G183*100</f>
        <v>#DIV/0!</v>
      </c>
    </row>
    <row r="184" spans="1:9" hidden="1" x14ac:dyDescent="0.25">
      <c r="A184" s="249" t="s">
        <v>181</v>
      </c>
      <c r="B184" s="250"/>
      <c r="C184" s="251"/>
      <c r="D184" s="117" t="s">
        <v>86</v>
      </c>
      <c r="E184" s="139"/>
      <c r="F184" s="77"/>
      <c r="G184" s="81"/>
      <c r="H184" s="81">
        <v>0</v>
      </c>
      <c r="I184" s="105"/>
    </row>
    <row r="185" spans="1:9" hidden="1" x14ac:dyDescent="0.25">
      <c r="A185" s="281" t="s">
        <v>337</v>
      </c>
      <c r="B185" s="282"/>
      <c r="C185" s="283"/>
      <c r="D185" s="284" t="s">
        <v>87</v>
      </c>
      <c r="E185" s="285" t="e">
        <f>SUM(E199:E238)</f>
        <v>#DIV/0!</v>
      </c>
      <c r="F185" s="285">
        <f>F186</f>
        <v>0</v>
      </c>
      <c r="G185" s="285">
        <f t="shared" ref="G185" si="159">G186</f>
        <v>0</v>
      </c>
      <c r="H185" s="285">
        <f t="shared" ref="H185" si="160">H186</f>
        <v>0</v>
      </c>
      <c r="I185" s="285" t="e">
        <f t="shared" ref="I185" si="161">H185/G185*100</f>
        <v>#DIV/0!</v>
      </c>
    </row>
    <row r="186" spans="1:9" hidden="1" x14ac:dyDescent="0.25">
      <c r="A186" s="249" t="s">
        <v>182</v>
      </c>
      <c r="B186" s="250"/>
      <c r="C186" s="251"/>
      <c r="D186" s="117" t="s">
        <v>87</v>
      </c>
      <c r="E186" s="139"/>
      <c r="F186" s="77"/>
      <c r="G186" s="81"/>
      <c r="H186" s="81">
        <v>0</v>
      </c>
      <c r="I186" s="105"/>
    </row>
    <row r="187" spans="1:9" hidden="1" x14ac:dyDescent="0.25">
      <c r="A187" s="281" t="s">
        <v>339</v>
      </c>
      <c r="B187" s="282"/>
      <c r="C187" s="283"/>
      <c r="D187" s="284" t="s">
        <v>447</v>
      </c>
      <c r="E187" s="285" t="e">
        <f>SUM(E196:E240)</f>
        <v>#DIV/0!</v>
      </c>
      <c r="F187" s="285">
        <f>F188</f>
        <v>0</v>
      </c>
      <c r="G187" s="285">
        <f t="shared" ref="G187" si="162">G188</f>
        <v>0</v>
      </c>
      <c r="H187" s="285">
        <f t="shared" ref="H187" si="163">H188</f>
        <v>0</v>
      </c>
      <c r="I187" s="285" t="e">
        <f t="shared" ref="I187" si="164">H187/G187*100</f>
        <v>#DIV/0!</v>
      </c>
    </row>
    <row r="188" spans="1:9" hidden="1" x14ac:dyDescent="0.25">
      <c r="A188" s="249" t="s">
        <v>183</v>
      </c>
      <c r="B188" s="250"/>
      <c r="C188" s="251"/>
      <c r="D188" s="117" t="s">
        <v>88</v>
      </c>
      <c r="E188" s="139"/>
      <c r="F188" s="77"/>
      <c r="G188" s="81"/>
      <c r="H188" s="81">
        <v>0</v>
      </c>
      <c r="I188" s="105"/>
    </row>
    <row r="189" spans="1:9" hidden="1" x14ac:dyDescent="0.25">
      <c r="A189" s="258">
        <v>32</v>
      </c>
      <c r="B189" s="259"/>
      <c r="C189" s="260"/>
      <c r="D189" s="116" t="s">
        <v>36</v>
      </c>
      <c r="E189" s="138">
        <f>SUM(E191:E192)</f>
        <v>0</v>
      </c>
      <c r="F189" s="91">
        <f t="shared" ref="F189:I189" si="165">SUM(F191:F192)</f>
        <v>0</v>
      </c>
      <c r="G189" s="91">
        <f t="shared" si="165"/>
        <v>0</v>
      </c>
      <c r="H189" s="91">
        <f t="shared" si="165"/>
        <v>0</v>
      </c>
      <c r="I189" s="91">
        <f t="shared" si="165"/>
        <v>0</v>
      </c>
    </row>
    <row r="190" spans="1:9" hidden="1" x14ac:dyDescent="0.25">
      <c r="A190" s="281" t="s">
        <v>345</v>
      </c>
      <c r="B190" s="282"/>
      <c r="C190" s="283"/>
      <c r="D190" s="284" t="s">
        <v>448</v>
      </c>
      <c r="E190" s="285" t="e">
        <f>SUM(E192:E244)</f>
        <v>#DIV/0!</v>
      </c>
      <c r="F190" s="285">
        <f>SUM(F191:F192)</f>
        <v>0</v>
      </c>
      <c r="G190" s="285">
        <f t="shared" ref="G190" si="166">SUM(G191:G192)</f>
        <v>0</v>
      </c>
      <c r="H190" s="285">
        <f t="shared" ref="H190" si="167">SUM(H191:H192)</f>
        <v>0</v>
      </c>
      <c r="I190" s="285" t="e">
        <f t="shared" ref="I190" si="168">H190/G190*100</f>
        <v>#DIV/0!</v>
      </c>
    </row>
    <row r="191" spans="1:9" hidden="1" x14ac:dyDescent="0.25">
      <c r="A191" s="249" t="s">
        <v>184</v>
      </c>
      <c r="B191" s="250"/>
      <c r="C191" s="251"/>
      <c r="D191" s="117" t="s">
        <v>58</v>
      </c>
      <c r="E191" s="139"/>
      <c r="F191" s="77"/>
      <c r="G191" s="81"/>
      <c r="H191" s="81">
        <v>0</v>
      </c>
      <c r="I191" s="105"/>
    </row>
    <row r="192" spans="1:9" hidden="1" x14ac:dyDescent="0.25">
      <c r="A192" s="249" t="s">
        <v>185</v>
      </c>
      <c r="B192" s="250"/>
      <c r="C192" s="251"/>
      <c r="D192" s="117" t="s">
        <v>89</v>
      </c>
      <c r="E192" s="139"/>
      <c r="F192" s="77"/>
      <c r="G192" s="81"/>
      <c r="H192" s="81">
        <v>0</v>
      </c>
      <c r="I192" s="105"/>
    </row>
    <row r="193" spans="1:9" ht="15" hidden="1" customHeight="1" x14ac:dyDescent="0.25">
      <c r="A193" s="252" t="s">
        <v>237</v>
      </c>
      <c r="B193" s="253"/>
      <c r="C193" s="254"/>
      <c r="D193" s="103" t="s">
        <v>130</v>
      </c>
      <c r="E193" s="136">
        <f>E194</f>
        <v>0</v>
      </c>
      <c r="F193" s="89">
        <f t="shared" ref="F193:I193" si="169">F194</f>
        <v>0</v>
      </c>
      <c r="G193" s="89">
        <f t="shared" si="169"/>
        <v>0</v>
      </c>
      <c r="H193" s="89">
        <f t="shared" si="169"/>
        <v>0</v>
      </c>
      <c r="I193" s="89">
        <f t="shared" si="169"/>
        <v>0</v>
      </c>
    </row>
    <row r="194" spans="1:9" hidden="1" x14ac:dyDescent="0.25">
      <c r="A194" s="255">
        <v>3</v>
      </c>
      <c r="B194" s="256"/>
      <c r="C194" s="257"/>
      <c r="D194" s="112" t="s">
        <v>22</v>
      </c>
      <c r="E194" s="137">
        <f>E195+E199</f>
        <v>0</v>
      </c>
      <c r="F194" s="90">
        <f t="shared" ref="F194:I194" si="170">F195+F199</f>
        <v>0</v>
      </c>
      <c r="G194" s="90">
        <f t="shared" si="170"/>
        <v>0</v>
      </c>
      <c r="H194" s="90">
        <f t="shared" si="170"/>
        <v>0</v>
      </c>
      <c r="I194" s="90">
        <f t="shared" si="170"/>
        <v>0</v>
      </c>
    </row>
    <row r="195" spans="1:9" hidden="1" x14ac:dyDescent="0.25">
      <c r="A195" s="258">
        <v>31</v>
      </c>
      <c r="B195" s="259"/>
      <c r="C195" s="260"/>
      <c r="D195" s="116" t="s">
        <v>23</v>
      </c>
      <c r="E195" s="138">
        <f>SUM(E196:E198)</f>
        <v>0</v>
      </c>
      <c r="F195" s="91">
        <f t="shared" ref="F195:I195" si="171">SUM(F196:F198)</f>
        <v>0</v>
      </c>
      <c r="G195" s="91">
        <f t="shared" si="171"/>
        <v>0</v>
      </c>
      <c r="H195" s="91">
        <f t="shared" si="171"/>
        <v>0</v>
      </c>
      <c r="I195" s="91">
        <f t="shared" si="171"/>
        <v>0</v>
      </c>
    </row>
    <row r="196" spans="1:9" hidden="1" x14ac:dyDescent="0.25">
      <c r="A196" s="249" t="s">
        <v>181</v>
      </c>
      <c r="B196" s="250"/>
      <c r="C196" s="251"/>
      <c r="D196" s="117" t="s">
        <v>86</v>
      </c>
      <c r="E196" s="139"/>
      <c r="F196" s="77"/>
      <c r="G196" s="81"/>
      <c r="H196" s="81">
        <v>0</v>
      </c>
      <c r="I196" s="105"/>
    </row>
    <row r="197" spans="1:9" hidden="1" x14ac:dyDescent="0.25">
      <c r="A197" s="249" t="s">
        <v>182</v>
      </c>
      <c r="B197" s="250"/>
      <c r="C197" s="251"/>
      <c r="D197" s="117" t="s">
        <v>87</v>
      </c>
      <c r="E197" s="139"/>
      <c r="F197" s="77"/>
      <c r="G197" s="81"/>
      <c r="H197" s="81">
        <v>0</v>
      </c>
      <c r="I197" s="105"/>
    </row>
    <row r="198" spans="1:9" hidden="1" x14ac:dyDescent="0.25">
      <c r="A198" s="249" t="s">
        <v>183</v>
      </c>
      <c r="B198" s="250"/>
      <c r="C198" s="251"/>
      <c r="D198" s="117" t="s">
        <v>88</v>
      </c>
      <c r="E198" s="139"/>
      <c r="F198" s="77"/>
      <c r="G198" s="81"/>
      <c r="H198" s="81">
        <v>0</v>
      </c>
      <c r="I198" s="105"/>
    </row>
    <row r="199" spans="1:9" hidden="1" x14ac:dyDescent="0.25">
      <c r="A199" s="258">
        <v>32</v>
      </c>
      <c r="B199" s="259"/>
      <c r="C199" s="260"/>
      <c r="D199" s="116" t="s">
        <v>36</v>
      </c>
      <c r="E199" s="138">
        <f>SUM(E200:E201)</f>
        <v>0</v>
      </c>
      <c r="F199" s="91">
        <f t="shared" ref="F199:H199" si="172">SUM(F200:F201)</f>
        <v>0</v>
      </c>
      <c r="G199" s="91">
        <f t="shared" si="172"/>
        <v>0</v>
      </c>
      <c r="H199" s="91">
        <f t="shared" si="172"/>
        <v>0</v>
      </c>
      <c r="I199" s="91">
        <f>SUM(I200:I201)</f>
        <v>0</v>
      </c>
    </row>
    <row r="200" spans="1:9" hidden="1" x14ac:dyDescent="0.25">
      <c r="A200" s="249" t="s">
        <v>184</v>
      </c>
      <c r="B200" s="250"/>
      <c r="C200" s="251"/>
      <c r="D200" s="117" t="s">
        <v>58</v>
      </c>
      <c r="E200" s="139"/>
      <c r="F200" s="77"/>
      <c r="G200" s="81"/>
      <c r="H200" s="81">
        <v>0</v>
      </c>
      <c r="I200" s="105"/>
    </row>
    <row r="201" spans="1:9" hidden="1" x14ac:dyDescent="0.25">
      <c r="A201" s="249" t="s">
        <v>185</v>
      </c>
      <c r="B201" s="250"/>
      <c r="C201" s="251"/>
      <c r="D201" s="117" t="s">
        <v>89</v>
      </c>
      <c r="E201" s="139"/>
      <c r="F201" s="77"/>
      <c r="G201" s="81"/>
      <c r="H201" s="81">
        <v>0</v>
      </c>
      <c r="I201" s="105"/>
    </row>
    <row r="202" spans="1:9" ht="14.25" hidden="1" customHeight="1" x14ac:dyDescent="0.25">
      <c r="A202" s="261" t="s">
        <v>259</v>
      </c>
      <c r="B202" s="262"/>
      <c r="C202" s="263"/>
      <c r="D202" s="111" t="s">
        <v>260</v>
      </c>
      <c r="E202" s="135">
        <f>E203+E212</f>
        <v>0</v>
      </c>
      <c r="F202" s="102">
        <f t="shared" ref="F202:I202" si="173">F203+F212</f>
        <v>0</v>
      </c>
      <c r="G202" s="102">
        <f t="shared" si="173"/>
        <v>0</v>
      </c>
      <c r="H202" s="102">
        <f t="shared" si="173"/>
        <v>0</v>
      </c>
      <c r="I202" s="102">
        <f t="shared" si="173"/>
        <v>0</v>
      </c>
    </row>
    <row r="203" spans="1:9" ht="15" hidden="1" customHeight="1" x14ac:dyDescent="0.25">
      <c r="A203" s="252" t="s">
        <v>124</v>
      </c>
      <c r="B203" s="253"/>
      <c r="C203" s="254"/>
      <c r="D203" s="103" t="s">
        <v>18</v>
      </c>
      <c r="E203" s="136">
        <f>E204</f>
        <v>0</v>
      </c>
      <c r="F203" s="103">
        <f t="shared" ref="F203:I203" si="174">F204</f>
        <v>0</v>
      </c>
      <c r="G203" s="103">
        <f t="shared" si="174"/>
        <v>0</v>
      </c>
      <c r="H203" s="103">
        <f t="shared" si="174"/>
        <v>0</v>
      </c>
      <c r="I203" s="103">
        <f t="shared" si="174"/>
        <v>0</v>
      </c>
    </row>
    <row r="204" spans="1:9" hidden="1" x14ac:dyDescent="0.25">
      <c r="A204" s="255">
        <v>3</v>
      </c>
      <c r="B204" s="256"/>
      <c r="C204" s="257"/>
      <c r="D204" s="112" t="s">
        <v>22</v>
      </c>
      <c r="E204" s="137">
        <f>E205+E209</f>
        <v>0</v>
      </c>
      <c r="F204" s="104">
        <f t="shared" ref="F204:I204" si="175">F205+F209</f>
        <v>0</v>
      </c>
      <c r="G204" s="104">
        <f t="shared" si="175"/>
        <v>0</v>
      </c>
      <c r="H204" s="104">
        <f t="shared" si="175"/>
        <v>0</v>
      </c>
      <c r="I204" s="104">
        <f t="shared" si="175"/>
        <v>0</v>
      </c>
    </row>
    <row r="205" spans="1:9" hidden="1" x14ac:dyDescent="0.25">
      <c r="A205" s="258">
        <v>31</v>
      </c>
      <c r="B205" s="259"/>
      <c r="C205" s="260"/>
      <c r="D205" s="116" t="s">
        <v>23</v>
      </c>
      <c r="E205" s="138">
        <f>SUM(E206:E208)</f>
        <v>0</v>
      </c>
      <c r="F205" s="101">
        <f t="shared" ref="F205:I205" si="176">SUM(F206:F208)</f>
        <v>0</v>
      </c>
      <c r="G205" s="101">
        <f t="shared" si="176"/>
        <v>0</v>
      </c>
      <c r="H205" s="101">
        <f t="shared" si="176"/>
        <v>0</v>
      </c>
      <c r="I205" s="101">
        <f t="shared" si="176"/>
        <v>0</v>
      </c>
    </row>
    <row r="206" spans="1:9" hidden="1" x14ac:dyDescent="0.25">
      <c r="A206" s="249" t="s">
        <v>181</v>
      </c>
      <c r="B206" s="250"/>
      <c r="C206" s="251"/>
      <c r="D206" s="117" t="s">
        <v>86</v>
      </c>
      <c r="E206" s="139"/>
      <c r="F206" s="77"/>
      <c r="G206" s="77"/>
      <c r="H206" s="77"/>
      <c r="I206" s="105"/>
    </row>
    <row r="207" spans="1:9" hidden="1" x14ac:dyDescent="0.25">
      <c r="A207" s="249" t="s">
        <v>182</v>
      </c>
      <c r="B207" s="250"/>
      <c r="C207" s="251"/>
      <c r="D207" s="117" t="s">
        <v>87</v>
      </c>
      <c r="E207" s="139"/>
      <c r="F207" s="77"/>
      <c r="G207" s="77"/>
      <c r="H207" s="77"/>
      <c r="I207" s="105"/>
    </row>
    <row r="208" spans="1:9" hidden="1" x14ac:dyDescent="0.25">
      <c r="A208" s="249" t="s">
        <v>183</v>
      </c>
      <c r="B208" s="250"/>
      <c r="C208" s="251"/>
      <c r="D208" s="117" t="s">
        <v>88</v>
      </c>
      <c r="E208" s="139"/>
      <c r="F208" s="77"/>
      <c r="G208" s="77"/>
      <c r="H208" s="77"/>
      <c r="I208" s="105"/>
    </row>
    <row r="209" spans="1:17" hidden="1" x14ac:dyDescent="0.25">
      <c r="A209" s="258">
        <v>32</v>
      </c>
      <c r="B209" s="259"/>
      <c r="C209" s="260"/>
      <c r="D209" s="116" t="s">
        <v>36</v>
      </c>
      <c r="E209" s="138">
        <f>SUM(E210:E211)</f>
        <v>0</v>
      </c>
      <c r="F209" s="101">
        <f t="shared" ref="F209:I209" si="177">SUM(F210:F211)</f>
        <v>0</v>
      </c>
      <c r="G209" s="101">
        <f t="shared" si="177"/>
        <v>0</v>
      </c>
      <c r="H209" s="101">
        <f t="shared" si="177"/>
        <v>0</v>
      </c>
      <c r="I209" s="91">
        <f t="shared" si="177"/>
        <v>0</v>
      </c>
    </row>
    <row r="210" spans="1:17" hidden="1" x14ac:dyDescent="0.25">
      <c r="A210" s="249" t="s">
        <v>184</v>
      </c>
      <c r="B210" s="250"/>
      <c r="C210" s="251"/>
      <c r="D210" s="117" t="s">
        <v>58</v>
      </c>
      <c r="E210" s="139"/>
      <c r="F210" s="77"/>
      <c r="G210" s="77"/>
      <c r="H210" s="77"/>
      <c r="I210" s="105"/>
    </row>
    <row r="211" spans="1:17" hidden="1" x14ac:dyDescent="0.25">
      <c r="A211" s="249" t="s">
        <v>185</v>
      </c>
      <c r="B211" s="250"/>
      <c r="C211" s="251"/>
      <c r="D211" s="117" t="s">
        <v>89</v>
      </c>
      <c r="E211" s="139"/>
      <c r="F211" s="77"/>
      <c r="G211" s="77"/>
      <c r="H211" s="77"/>
      <c r="I211" s="105"/>
    </row>
    <row r="212" spans="1:17" ht="15" hidden="1" customHeight="1" x14ac:dyDescent="0.25">
      <c r="A212" s="252" t="s">
        <v>237</v>
      </c>
      <c r="B212" s="253"/>
      <c r="C212" s="254"/>
      <c r="D212" s="103" t="s">
        <v>130</v>
      </c>
      <c r="E212" s="136">
        <f>E213</f>
        <v>0</v>
      </c>
      <c r="F212" s="103">
        <f t="shared" ref="F212:I212" si="178">F213</f>
        <v>0</v>
      </c>
      <c r="G212" s="103">
        <f t="shared" si="178"/>
        <v>0</v>
      </c>
      <c r="H212" s="103">
        <f t="shared" si="178"/>
        <v>0</v>
      </c>
      <c r="I212" s="103">
        <f t="shared" si="178"/>
        <v>0</v>
      </c>
    </row>
    <row r="213" spans="1:17" hidden="1" x14ac:dyDescent="0.25">
      <c r="A213" s="255">
        <v>3</v>
      </c>
      <c r="B213" s="256"/>
      <c r="C213" s="257"/>
      <c r="D213" s="112" t="s">
        <v>22</v>
      </c>
      <c r="E213" s="137">
        <f>E214+E218</f>
        <v>0</v>
      </c>
      <c r="F213" s="104">
        <f t="shared" ref="F213:I213" si="179">F214+F218</f>
        <v>0</v>
      </c>
      <c r="G213" s="104">
        <f t="shared" si="179"/>
        <v>0</v>
      </c>
      <c r="H213" s="104">
        <f t="shared" si="179"/>
        <v>0</v>
      </c>
      <c r="I213" s="104">
        <f t="shared" si="179"/>
        <v>0</v>
      </c>
    </row>
    <row r="214" spans="1:17" hidden="1" x14ac:dyDescent="0.25">
      <c r="A214" s="258">
        <v>31</v>
      </c>
      <c r="B214" s="259"/>
      <c r="C214" s="260"/>
      <c r="D214" s="116" t="s">
        <v>23</v>
      </c>
      <c r="E214" s="138">
        <f>SUM(E215:E217)</f>
        <v>0</v>
      </c>
      <c r="F214" s="101">
        <f t="shared" ref="F214:I214" si="180">SUM(F215:F217)</f>
        <v>0</v>
      </c>
      <c r="G214" s="101">
        <f t="shared" si="180"/>
        <v>0</v>
      </c>
      <c r="H214" s="101">
        <f t="shared" si="180"/>
        <v>0</v>
      </c>
      <c r="I214" s="101">
        <f t="shared" si="180"/>
        <v>0</v>
      </c>
    </row>
    <row r="215" spans="1:17" hidden="1" x14ac:dyDescent="0.25">
      <c r="A215" s="249" t="s">
        <v>181</v>
      </c>
      <c r="B215" s="250"/>
      <c r="C215" s="251"/>
      <c r="D215" s="117" t="s">
        <v>86</v>
      </c>
      <c r="E215" s="139"/>
      <c r="F215" s="77"/>
      <c r="G215" s="77"/>
      <c r="H215" s="77"/>
      <c r="I215" s="105"/>
    </row>
    <row r="216" spans="1:17" hidden="1" x14ac:dyDescent="0.25">
      <c r="A216" s="249" t="s">
        <v>182</v>
      </c>
      <c r="B216" s="250"/>
      <c r="C216" s="251"/>
      <c r="D216" s="117" t="s">
        <v>87</v>
      </c>
      <c r="E216" s="139"/>
      <c r="F216" s="77"/>
      <c r="G216" s="77"/>
      <c r="H216" s="77"/>
      <c r="I216" s="105"/>
    </row>
    <row r="217" spans="1:17" hidden="1" x14ac:dyDescent="0.25">
      <c r="A217" s="249" t="s">
        <v>183</v>
      </c>
      <c r="B217" s="250"/>
      <c r="C217" s="251"/>
      <c r="D217" s="117" t="s">
        <v>88</v>
      </c>
      <c r="E217" s="139"/>
      <c r="F217" s="77"/>
      <c r="G217" s="77"/>
      <c r="H217" s="77"/>
      <c r="I217" s="105"/>
    </row>
    <row r="218" spans="1:17" hidden="1" x14ac:dyDescent="0.25">
      <c r="A218" s="258">
        <v>32</v>
      </c>
      <c r="B218" s="259"/>
      <c r="C218" s="260"/>
      <c r="D218" s="116" t="s">
        <v>36</v>
      </c>
      <c r="E218" s="138">
        <f>SUM(E219:E220)</f>
        <v>0</v>
      </c>
      <c r="F218" s="91">
        <f t="shared" ref="F218" si="181">SUM(F219:F220)</f>
        <v>0</v>
      </c>
      <c r="G218" s="91">
        <f t="shared" ref="G218" si="182">SUM(G219:G220)</f>
        <v>0</v>
      </c>
      <c r="H218" s="91">
        <f t="shared" ref="H218:I218" si="183">SUM(H219:H220)</f>
        <v>0</v>
      </c>
      <c r="I218" s="91">
        <f t="shared" si="183"/>
        <v>0</v>
      </c>
    </row>
    <row r="219" spans="1:17" hidden="1" x14ac:dyDescent="0.25">
      <c r="A219" s="249" t="s">
        <v>184</v>
      </c>
      <c r="B219" s="250"/>
      <c r="C219" s="251"/>
      <c r="D219" s="117" t="s">
        <v>58</v>
      </c>
      <c r="E219" s="139"/>
      <c r="F219" s="77"/>
      <c r="G219" s="81"/>
      <c r="H219" s="81"/>
      <c r="I219" s="105"/>
    </row>
    <row r="220" spans="1:17" hidden="1" x14ac:dyDescent="0.25">
      <c r="A220" s="249" t="s">
        <v>185</v>
      </c>
      <c r="B220" s="250"/>
      <c r="C220" s="251"/>
      <c r="D220" s="117" t="s">
        <v>89</v>
      </c>
      <c r="E220" s="139"/>
      <c r="F220" s="77"/>
      <c r="G220" s="81"/>
      <c r="H220" s="81"/>
      <c r="I220" s="105"/>
    </row>
    <row r="221" spans="1:17" x14ac:dyDescent="0.25">
      <c r="A221" s="267" t="s">
        <v>219</v>
      </c>
      <c r="B221" s="268"/>
      <c r="C221" s="269"/>
      <c r="D221" s="115" t="s">
        <v>90</v>
      </c>
      <c r="E221" s="140">
        <f>E222+E230+E236</f>
        <v>53846.86</v>
      </c>
      <c r="F221" s="94">
        <f t="shared" ref="F221:I221" si="184">F222+F230+F236</f>
        <v>0</v>
      </c>
      <c r="G221" s="94">
        <f>G222+G230+G236+G241</f>
        <v>10849.03</v>
      </c>
      <c r="H221" s="94">
        <f>H222+H230+H236+H241</f>
        <v>3568.16</v>
      </c>
      <c r="I221" s="94">
        <f t="shared" ref="I221:I226" si="185">H221/G221*100</f>
        <v>32.89</v>
      </c>
      <c r="L221" s="66"/>
      <c r="M221" s="66"/>
      <c r="N221" s="66"/>
      <c r="O221" s="66"/>
      <c r="P221" s="66"/>
      <c r="Q221" s="66"/>
    </row>
    <row r="222" spans="1:17" ht="15" customHeight="1" x14ac:dyDescent="0.25">
      <c r="A222" s="261" t="s">
        <v>220</v>
      </c>
      <c r="B222" s="262"/>
      <c r="C222" s="263"/>
      <c r="D222" s="111" t="s">
        <v>91</v>
      </c>
      <c r="E222" s="135">
        <f>E223</f>
        <v>18343.509999999998</v>
      </c>
      <c r="F222" s="88">
        <f t="shared" ref="F222:I222" si="186">F223</f>
        <v>0</v>
      </c>
      <c r="G222" s="88">
        <f>G223</f>
        <v>8824.0300000000007</v>
      </c>
      <c r="H222" s="88">
        <f t="shared" si="186"/>
        <v>1543.16</v>
      </c>
      <c r="I222" s="88">
        <f t="shared" si="185"/>
        <v>17.489999999999998</v>
      </c>
    </row>
    <row r="223" spans="1:17" ht="15" customHeight="1" x14ac:dyDescent="0.25">
      <c r="A223" s="252" t="s">
        <v>124</v>
      </c>
      <c r="B223" s="253"/>
      <c r="C223" s="254"/>
      <c r="D223" s="103" t="s">
        <v>18</v>
      </c>
      <c r="E223" s="136">
        <f>E224</f>
        <v>18343.509999999998</v>
      </c>
      <c r="F223" s="89">
        <f t="shared" ref="F223:I223" si="187">F224</f>
        <v>0</v>
      </c>
      <c r="G223" s="89">
        <f t="shared" si="187"/>
        <v>8824.0300000000007</v>
      </c>
      <c r="H223" s="89">
        <f t="shared" si="187"/>
        <v>1543.16</v>
      </c>
      <c r="I223" s="89">
        <f t="shared" si="185"/>
        <v>17.489999999999998</v>
      </c>
    </row>
    <row r="224" spans="1:17" ht="25.5" x14ac:dyDescent="0.25">
      <c r="A224" s="255">
        <v>4</v>
      </c>
      <c r="B224" s="256"/>
      <c r="C224" s="257"/>
      <c r="D224" s="112" t="s">
        <v>24</v>
      </c>
      <c r="E224" s="137">
        <f>E225</f>
        <v>18343.509999999998</v>
      </c>
      <c r="F224" s="90">
        <f t="shared" ref="F224:I224" si="188">F225</f>
        <v>0</v>
      </c>
      <c r="G224" s="90">
        <f t="shared" si="188"/>
        <v>8824.0300000000007</v>
      </c>
      <c r="H224" s="90">
        <f t="shared" si="188"/>
        <v>1543.16</v>
      </c>
      <c r="I224" s="90">
        <f t="shared" si="185"/>
        <v>17.489999999999998</v>
      </c>
    </row>
    <row r="225" spans="1:9" ht="25.5" x14ac:dyDescent="0.25">
      <c r="A225" s="258">
        <v>42</v>
      </c>
      <c r="B225" s="259"/>
      <c r="C225" s="260"/>
      <c r="D225" s="116" t="s">
        <v>211</v>
      </c>
      <c r="E225" s="138">
        <f>SUM(E227:E228)</f>
        <v>18343.509999999998</v>
      </c>
      <c r="F225" s="91">
        <f t="shared" ref="F225:I225" si="189">SUM(F227:F228)</f>
        <v>0</v>
      </c>
      <c r="G225" s="91">
        <f t="shared" si="189"/>
        <v>8824.0300000000007</v>
      </c>
      <c r="H225" s="91">
        <f t="shared" si="189"/>
        <v>1543.16</v>
      </c>
      <c r="I225" s="91">
        <f t="shared" si="185"/>
        <v>17.489999999999998</v>
      </c>
    </row>
    <row r="226" spans="1:9" x14ac:dyDescent="0.25">
      <c r="A226" s="281" t="s">
        <v>401</v>
      </c>
      <c r="B226" s="282"/>
      <c r="C226" s="283"/>
      <c r="D226" s="284" t="s">
        <v>449</v>
      </c>
      <c r="E226" s="285" t="e">
        <f>SUM(E228:E290)</f>
        <v>#DIV/0!</v>
      </c>
      <c r="F226" s="285">
        <f>SUM(F227:F229)</f>
        <v>0</v>
      </c>
      <c r="G226" s="285">
        <f>SUM(G227:G229)</f>
        <v>8824.0300000000007</v>
      </c>
      <c r="H226" s="285">
        <f>SUM(H227:H229)</f>
        <v>1543.16</v>
      </c>
      <c r="I226" s="285">
        <f t="shared" si="185"/>
        <v>17.489999999999998</v>
      </c>
    </row>
    <row r="227" spans="1:9" x14ac:dyDescent="0.25">
      <c r="A227" s="249" t="s">
        <v>189</v>
      </c>
      <c r="B227" s="250"/>
      <c r="C227" s="251"/>
      <c r="D227" s="114" t="s">
        <v>105</v>
      </c>
      <c r="E227" s="139">
        <f>108209.19/K1</f>
        <v>14361.83</v>
      </c>
      <c r="F227" s="77"/>
      <c r="G227" s="77">
        <v>7280.87</v>
      </c>
      <c r="H227" s="77"/>
      <c r="I227" s="78"/>
    </row>
    <row r="228" spans="1:9" x14ac:dyDescent="0.25">
      <c r="A228" s="249" t="s">
        <v>190</v>
      </c>
      <c r="B228" s="250"/>
      <c r="C228" s="251"/>
      <c r="D228" s="114" t="s">
        <v>106</v>
      </c>
      <c r="E228" s="139">
        <f>30000/K1</f>
        <v>3981.68</v>
      </c>
      <c r="F228" s="77"/>
      <c r="G228" s="77">
        <v>1543.16</v>
      </c>
      <c r="H228" s="77">
        <v>1543.16</v>
      </c>
      <c r="I228" s="78"/>
    </row>
    <row r="229" spans="1:9" x14ac:dyDescent="0.25">
      <c r="A229" s="249" t="s">
        <v>191</v>
      </c>
      <c r="B229" s="250"/>
      <c r="C229" s="251"/>
      <c r="D229" s="114" t="s">
        <v>248</v>
      </c>
      <c r="E229" s="139" t="e">
        <f>30000/K2</f>
        <v>#DIV/0!</v>
      </c>
      <c r="F229" s="77"/>
      <c r="G229" s="77"/>
      <c r="H229" s="77"/>
      <c r="I229" s="78"/>
    </row>
    <row r="230" spans="1:9" ht="15" customHeight="1" x14ac:dyDescent="0.25">
      <c r="A230" s="261" t="s">
        <v>221</v>
      </c>
      <c r="B230" s="262"/>
      <c r="C230" s="263"/>
      <c r="D230" s="111" t="s">
        <v>225</v>
      </c>
      <c r="E230" s="135">
        <f>E231</f>
        <v>32185.279999999999</v>
      </c>
      <c r="F230" s="88">
        <f t="shared" ref="F230:I230" si="190">F231</f>
        <v>0</v>
      </c>
      <c r="G230" s="88">
        <f t="shared" si="190"/>
        <v>1125</v>
      </c>
      <c r="H230" s="88">
        <f t="shared" si="190"/>
        <v>1125</v>
      </c>
      <c r="I230" s="88">
        <f t="shared" ref="I230:I234" si="191">H230/G230*100</f>
        <v>100</v>
      </c>
    </row>
    <row r="231" spans="1:9" ht="15" customHeight="1" x14ac:dyDescent="0.25">
      <c r="A231" s="252" t="s">
        <v>124</v>
      </c>
      <c r="B231" s="253"/>
      <c r="C231" s="254"/>
      <c r="D231" s="103" t="s">
        <v>18</v>
      </c>
      <c r="E231" s="136">
        <f>E232</f>
        <v>32185.279999999999</v>
      </c>
      <c r="F231" s="89">
        <f t="shared" ref="F231:I231" si="192">F232</f>
        <v>0</v>
      </c>
      <c r="G231" s="89">
        <f t="shared" si="192"/>
        <v>1125</v>
      </c>
      <c r="H231" s="89">
        <f t="shared" si="192"/>
        <v>1125</v>
      </c>
      <c r="I231" s="89">
        <f t="shared" si="191"/>
        <v>100</v>
      </c>
    </row>
    <row r="232" spans="1:9" ht="25.5" x14ac:dyDescent="0.25">
      <c r="A232" s="255">
        <v>4</v>
      </c>
      <c r="B232" s="256"/>
      <c r="C232" s="257"/>
      <c r="D232" s="112" t="s">
        <v>24</v>
      </c>
      <c r="E232" s="137">
        <f>E233</f>
        <v>32185.279999999999</v>
      </c>
      <c r="F232" s="90">
        <f t="shared" ref="F232:I232" si="193">F233</f>
        <v>0</v>
      </c>
      <c r="G232" s="90">
        <f t="shared" si="193"/>
        <v>1125</v>
      </c>
      <c r="H232" s="90">
        <f t="shared" si="193"/>
        <v>1125</v>
      </c>
      <c r="I232" s="90">
        <f t="shared" si="191"/>
        <v>100</v>
      </c>
    </row>
    <row r="233" spans="1:9" ht="25.5" x14ac:dyDescent="0.25">
      <c r="A233" s="258">
        <v>45</v>
      </c>
      <c r="B233" s="259"/>
      <c r="C233" s="260"/>
      <c r="D233" s="116" t="s">
        <v>249</v>
      </c>
      <c r="E233" s="138">
        <f>E235</f>
        <v>32185.279999999999</v>
      </c>
      <c r="F233" s="91">
        <f t="shared" ref="F233:I233" si="194">F235</f>
        <v>0</v>
      </c>
      <c r="G233" s="91">
        <f t="shared" si="194"/>
        <v>1125</v>
      </c>
      <c r="H233" s="91">
        <f t="shared" si="194"/>
        <v>1125</v>
      </c>
      <c r="I233" s="91">
        <f t="shared" si="191"/>
        <v>100</v>
      </c>
    </row>
    <row r="234" spans="1:9" x14ac:dyDescent="0.25">
      <c r="A234" s="281" t="s">
        <v>411</v>
      </c>
      <c r="B234" s="282"/>
      <c r="C234" s="283"/>
      <c r="D234" s="284" t="s">
        <v>450</v>
      </c>
      <c r="E234" s="285" t="e">
        <f>SUM(E236:E299)</f>
        <v>#DIV/0!</v>
      </c>
      <c r="F234" s="285">
        <f>SUM(F235:F236)</f>
        <v>0</v>
      </c>
      <c r="G234" s="285">
        <f t="shared" ref="G234" si="195">SUM(G235:G236)</f>
        <v>1125</v>
      </c>
      <c r="H234" s="285">
        <f t="shared" ref="H234" si="196">SUM(H235:H236)</f>
        <v>1125</v>
      </c>
      <c r="I234" s="285">
        <f t="shared" si="191"/>
        <v>100</v>
      </c>
    </row>
    <row r="235" spans="1:9" ht="25.5" x14ac:dyDescent="0.25">
      <c r="A235" s="249" t="s">
        <v>214</v>
      </c>
      <c r="B235" s="250"/>
      <c r="C235" s="251"/>
      <c r="D235" s="114" t="s">
        <v>213</v>
      </c>
      <c r="E235" s="139">
        <f>242500/K1</f>
        <v>32185.279999999999</v>
      </c>
      <c r="F235" s="77"/>
      <c r="G235" s="77">
        <v>1125</v>
      </c>
      <c r="H235" s="77">
        <v>1125</v>
      </c>
      <c r="I235" s="78"/>
    </row>
    <row r="236" spans="1:9" ht="15" customHeight="1" x14ac:dyDescent="0.25">
      <c r="A236" s="261" t="s">
        <v>250</v>
      </c>
      <c r="B236" s="262"/>
      <c r="C236" s="263"/>
      <c r="D236" s="111" t="s">
        <v>251</v>
      </c>
      <c r="E236" s="135">
        <f>E237</f>
        <v>3318.07</v>
      </c>
      <c r="F236" s="88">
        <f t="shared" ref="F236:I236" si="197">F237</f>
        <v>0</v>
      </c>
      <c r="G236" s="88">
        <f t="shared" si="197"/>
        <v>0</v>
      </c>
      <c r="H236" s="88">
        <f t="shared" si="197"/>
        <v>0</v>
      </c>
      <c r="I236" s="88" t="e">
        <f t="shared" ref="I236:I239" si="198">H236/G236*100</f>
        <v>#DIV/0!</v>
      </c>
    </row>
    <row r="237" spans="1:9" ht="15" customHeight="1" x14ac:dyDescent="0.25">
      <c r="A237" s="252" t="s">
        <v>124</v>
      </c>
      <c r="B237" s="253"/>
      <c r="C237" s="254"/>
      <c r="D237" s="103" t="s">
        <v>18</v>
      </c>
      <c r="E237" s="136">
        <f>E238</f>
        <v>3318.07</v>
      </c>
      <c r="F237" s="89">
        <f t="shared" ref="F237:I237" si="199">F238</f>
        <v>0</v>
      </c>
      <c r="G237" s="89">
        <f t="shared" si="199"/>
        <v>0</v>
      </c>
      <c r="H237" s="89">
        <f t="shared" si="199"/>
        <v>0</v>
      </c>
      <c r="I237" s="89" t="e">
        <f t="shared" si="198"/>
        <v>#DIV/0!</v>
      </c>
    </row>
    <row r="238" spans="1:9" x14ac:dyDescent="0.25">
      <c r="A238" s="255">
        <v>3</v>
      </c>
      <c r="B238" s="256"/>
      <c r="C238" s="257"/>
      <c r="D238" s="112" t="s">
        <v>252</v>
      </c>
      <c r="E238" s="137">
        <f>E239</f>
        <v>3318.07</v>
      </c>
      <c r="F238" s="90">
        <f t="shared" ref="F238:I238" si="200">F239</f>
        <v>0</v>
      </c>
      <c r="G238" s="90">
        <f t="shared" si="200"/>
        <v>0</v>
      </c>
      <c r="H238" s="90">
        <f t="shared" si="200"/>
        <v>0</v>
      </c>
      <c r="I238" s="90" t="e">
        <f t="shared" si="198"/>
        <v>#DIV/0!</v>
      </c>
    </row>
    <row r="239" spans="1:9" x14ac:dyDescent="0.25">
      <c r="A239" s="258">
        <v>31</v>
      </c>
      <c r="B239" s="259"/>
      <c r="C239" s="260"/>
      <c r="D239" s="116" t="s">
        <v>36</v>
      </c>
      <c r="E239" s="138">
        <f>E240</f>
        <v>3318.07</v>
      </c>
      <c r="F239" s="91">
        <f t="shared" ref="F239:I239" si="201">F240</f>
        <v>0</v>
      </c>
      <c r="G239" s="91">
        <f t="shared" si="201"/>
        <v>0</v>
      </c>
      <c r="H239" s="91">
        <f t="shared" si="201"/>
        <v>0</v>
      </c>
      <c r="I239" s="91" t="e">
        <f t="shared" si="198"/>
        <v>#DIV/0!</v>
      </c>
    </row>
    <row r="240" spans="1:9" x14ac:dyDescent="0.25">
      <c r="A240" s="249" t="s">
        <v>201</v>
      </c>
      <c r="B240" s="250"/>
      <c r="C240" s="251"/>
      <c r="D240" s="114" t="s">
        <v>95</v>
      </c>
      <c r="E240" s="139">
        <f>25000/K1</f>
        <v>3318.07</v>
      </c>
      <c r="F240" s="77"/>
      <c r="G240" s="77"/>
      <c r="H240" s="77"/>
      <c r="I240" s="78"/>
    </row>
    <row r="241" spans="1:17" ht="15" customHeight="1" x14ac:dyDescent="0.25">
      <c r="A241" s="261" t="s">
        <v>268</v>
      </c>
      <c r="B241" s="262"/>
      <c r="C241" s="263"/>
      <c r="D241" s="111" t="s">
        <v>269</v>
      </c>
      <c r="E241" s="135" t="e">
        <f>E242</f>
        <v>#DIV/0!</v>
      </c>
      <c r="F241" s="88">
        <f t="shared" ref="F241:I243" si="202">F242</f>
        <v>0</v>
      </c>
      <c r="G241" s="88">
        <f t="shared" si="202"/>
        <v>900</v>
      </c>
      <c r="H241" s="88">
        <f t="shared" si="202"/>
        <v>900</v>
      </c>
      <c r="I241" s="88">
        <f t="shared" ref="I241:I245" si="203">H241/G241*100</f>
        <v>100</v>
      </c>
    </row>
    <row r="242" spans="1:17" ht="15" customHeight="1" x14ac:dyDescent="0.25">
      <c r="A242" s="252" t="s">
        <v>124</v>
      </c>
      <c r="B242" s="253"/>
      <c r="C242" s="254"/>
      <c r="D242" s="103" t="s">
        <v>18</v>
      </c>
      <c r="E242" s="136" t="e">
        <f>E243</f>
        <v>#DIV/0!</v>
      </c>
      <c r="F242" s="89">
        <f t="shared" si="202"/>
        <v>0</v>
      </c>
      <c r="G242" s="89">
        <f t="shared" si="202"/>
        <v>900</v>
      </c>
      <c r="H242" s="89">
        <f t="shared" si="202"/>
        <v>900</v>
      </c>
      <c r="I242" s="89">
        <f t="shared" si="203"/>
        <v>100</v>
      </c>
    </row>
    <row r="243" spans="1:17" x14ac:dyDescent="0.25">
      <c r="A243" s="255">
        <v>3</v>
      </c>
      <c r="B243" s="256"/>
      <c r="C243" s="257"/>
      <c r="D243" s="126" t="s">
        <v>252</v>
      </c>
      <c r="E243" s="137" t="e">
        <f>E244</f>
        <v>#DIV/0!</v>
      </c>
      <c r="F243" s="90">
        <f t="shared" si="202"/>
        <v>0</v>
      </c>
      <c r="G243" s="90">
        <f t="shared" si="202"/>
        <v>900</v>
      </c>
      <c r="H243" s="90">
        <f t="shared" si="202"/>
        <v>900</v>
      </c>
      <c r="I243" s="90">
        <f t="shared" si="203"/>
        <v>100</v>
      </c>
    </row>
    <row r="244" spans="1:17" ht="25.5" x14ac:dyDescent="0.25">
      <c r="A244" s="258">
        <v>42</v>
      </c>
      <c r="B244" s="259"/>
      <c r="C244" s="260"/>
      <c r="D244" s="116" t="s">
        <v>211</v>
      </c>
      <c r="E244" s="138" t="e">
        <f>E246</f>
        <v>#DIV/0!</v>
      </c>
      <c r="F244" s="91">
        <f>F246</f>
        <v>0</v>
      </c>
      <c r="G244" s="91">
        <f>G246</f>
        <v>900</v>
      </c>
      <c r="H244" s="91">
        <f>H246</f>
        <v>900</v>
      </c>
      <c r="I244" s="91">
        <f t="shared" si="203"/>
        <v>100</v>
      </c>
    </row>
    <row r="245" spans="1:17" x14ac:dyDescent="0.25">
      <c r="A245" s="281" t="s">
        <v>401</v>
      </c>
      <c r="B245" s="282"/>
      <c r="C245" s="283"/>
      <c r="D245" s="284" t="s">
        <v>270</v>
      </c>
      <c r="E245" s="285" t="e">
        <f>SUM(E247:E310)</f>
        <v>#DIV/0!</v>
      </c>
      <c r="F245" s="285">
        <f>F246</f>
        <v>0</v>
      </c>
      <c r="G245" s="285">
        <f t="shared" ref="G245:H245" si="204">G246</f>
        <v>900</v>
      </c>
      <c r="H245" s="285">
        <f t="shared" si="204"/>
        <v>900</v>
      </c>
      <c r="I245" s="285">
        <f t="shared" si="203"/>
        <v>100</v>
      </c>
    </row>
    <row r="246" spans="1:17" x14ac:dyDescent="0.25">
      <c r="A246" s="249" t="s">
        <v>192</v>
      </c>
      <c r="B246" s="250"/>
      <c r="C246" s="251"/>
      <c r="D246" s="114" t="s">
        <v>270</v>
      </c>
      <c r="E246" s="139" t="e">
        <f>25000/K6</f>
        <v>#DIV/0!</v>
      </c>
      <c r="F246" s="77"/>
      <c r="G246" s="77">
        <v>900</v>
      </c>
      <c r="H246" s="77">
        <v>900</v>
      </c>
      <c r="I246" s="78"/>
    </row>
    <row r="247" spans="1:17" ht="24" x14ac:dyDescent="0.25">
      <c r="A247" s="267" t="s">
        <v>222</v>
      </c>
      <c r="B247" s="268"/>
      <c r="C247" s="269"/>
      <c r="D247" s="115" t="s">
        <v>93</v>
      </c>
      <c r="E247" s="140">
        <f>E248</f>
        <v>49159.95</v>
      </c>
      <c r="F247" s="94">
        <f t="shared" ref="F247:I247" si="205">F248</f>
        <v>3269.57</v>
      </c>
      <c r="G247" s="94">
        <f>G248</f>
        <v>10345.85</v>
      </c>
      <c r="H247" s="94">
        <f t="shared" si="205"/>
        <v>2576.4299999999998</v>
      </c>
      <c r="I247" s="94">
        <f t="shared" ref="I247:I252" si="206">H247/G247*100</f>
        <v>24.9</v>
      </c>
      <c r="L247" s="66"/>
      <c r="M247" s="66"/>
      <c r="N247" s="66"/>
      <c r="O247" s="66"/>
      <c r="P247" s="66"/>
      <c r="Q247" s="66"/>
    </row>
    <row r="248" spans="1:17" ht="28.5" customHeight="1" x14ac:dyDescent="0.25">
      <c r="A248" s="261" t="s">
        <v>223</v>
      </c>
      <c r="B248" s="262"/>
      <c r="C248" s="263"/>
      <c r="D248" s="111" t="s">
        <v>224</v>
      </c>
      <c r="E248" s="135">
        <f>E249</f>
        <v>49159.95</v>
      </c>
      <c r="F248" s="88">
        <f t="shared" ref="F248:I248" si="207">F249</f>
        <v>3269.57</v>
      </c>
      <c r="G248" s="88">
        <f t="shared" si="207"/>
        <v>10345.85</v>
      </c>
      <c r="H248" s="88">
        <f t="shared" si="207"/>
        <v>2576.4299999999998</v>
      </c>
      <c r="I248" s="88">
        <f t="shared" si="206"/>
        <v>24.9</v>
      </c>
    </row>
    <row r="249" spans="1:17" ht="15" customHeight="1" x14ac:dyDescent="0.25">
      <c r="A249" s="252" t="s">
        <v>124</v>
      </c>
      <c r="B249" s="253"/>
      <c r="C249" s="254"/>
      <c r="D249" s="103" t="s">
        <v>18</v>
      </c>
      <c r="E249" s="136">
        <f>E250</f>
        <v>49159.95</v>
      </c>
      <c r="F249" s="89">
        <f t="shared" ref="F249:I249" si="208">F250</f>
        <v>3269.57</v>
      </c>
      <c r="G249" s="89">
        <f t="shared" si="208"/>
        <v>10345.85</v>
      </c>
      <c r="H249" s="89">
        <f t="shared" si="208"/>
        <v>2576.4299999999998</v>
      </c>
      <c r="I249" s="89">
        <f t="shared" si="206"/>
        <v>24.9</v>
      </c>
    </row>
    <row r="250" spans="1:17" x14ac:dyDescent="0.25">
      <c r="A250" s="255">
        <v>3</v>
      </c>
      <c r="B250" s="256"/>
      <c r="C250" s="257"/>
      <c r="D250" s="112" t="s">
        <v>22</v>
      </c>
      <c r="E250" s="137">
        <f>E251</f>
        <v>49159.95</v>
      </c>
      <c r="F250" s="90">
        <f t="shared" ref="F250:I250" si="209">F251</f>
        <v>3269.57</v>
      </c>
      <c r="G250" s="90">
        <f t="shared" si="209"/>
        <v>10345.85</v>
      </c>
      <c r="H250" s="90">
        <f t="shared" si="209"/>
        <v>2576.4299999999998</v>
      </c>
      <c r="I250" s="90">
        <f t="shared" si="206"/>
        <v>24.9</v>
      </c>
    </row>
    <row r="251" spans="1:17" ht="25.5" x14ac:dyDescent="0.25">
      <c r="A251" s="258">
        <v>32</v>
      </c>
      <c r="B251" s="259"/>
      <c r="C251" s="260"/>
      <c r="D251" s="116" t="s">
        <v>211</v>
      </c>
      <c r="E251" s="138">
        <f>E253</f>
        <v>49159.95</v>
      </c>
      <c r="F251" s="91">
        <f t="shared" ref="F251:I251" si="210">F253</f>
        <v>3269.57</v>
      </c>
      <c r="G251" s="91">
        <f t="shared" si="210"/>
        <v>10345.85</v>
      </c>
      <c r="H251" s="91">
        <f t="shared" si="210"/>
        <v>2576.4299999999998</v>
      </c>
      <c r="I251" s="91">
        <f t="shared" si="206"/>
        <v>24.9</v>
      </c>
    </row>
    <row r="252" spans="1:17" x14ac:dyDescent="0.25">
      <c r="A252" s="281" t="s">
        <v>360</v>
      </c>
      <c r="B252" s="282"/>
      <c r="C252" s="283"/>
      <c r="D252" s="284" t="s">
        <v>444</v>
      </c>
      <c r="E252" s="285" t="e">
        <f>SUM(E254:E314)</f>
        <v>#DIV/0!</v>
      </c>
      <c r="F252" s="285">
        <f>F253</f>
        <v>3269.57</v>
      </c>
      <c r="G252" s="285">
        <f t="shared" ref="G252:H252" si="211">G253</f>
        <v>10345.85</v>
      </c>
      <c r="H252" s="285">
        <f t="shared" si="211"/>
        <v>2576.4299999999998</v>
      </c>
      <c r="I252" s="285">
        <f t="shared" si="206"/>
        <v>24.9</v>
      </c>
    </row>
    <row r="253" spans="1:17" ht="25.5" x14ac:dyDescent="0.25">
      <c r="A253" s="249" t="s">
        <v>187</v>
      </c>
      <c r="B253" s="250"/>
      <c r="C253" s="251"/>
      <c r="D253" s="114" t="s">
        <v>210</v>
      </c>
      <c r="E253" s="139">
        <f>370395.66/K1</f>
        <v>49159.95</v>
      </c>
      <c r="F253" s="100">
        <v>3269.57</v>
      </c>
      <c r="G253" s="77">
        <v>10345.85</v>
      </c>
      <c r="H253" s="77">
        <v>2576.4299999999998</v>
      </c>
      <c r="I253" s="78"/>
    </row>
    <row r="254" spans="1:17" ht="15" customHeight="1" x14ac:dyDescent="0.25">
      <c r="A254" s="252" t="s">
        <v>118</v>
      </c>
      <c r="B254" s="253"/>
      <c r="C254" s="254"/>
      <c r="D254" s="103" t="s">
        <v>119</v>
      </c>
      <c r="E254" s="136">
        <f>E255</f>
        <v>0</v>
      </c>
      <c r="F254" s="103">
        <f t="shared" ref="F254:I254" si="212">F255</f>
        <v>0</v>
      </c>
      <c r="G254" s="89">
        <f t="shared" si="212"/>
        <v>0</v>
      </c>
      <c r="H254" s="89">
        <f t="shared" si="212"/>
        <v>0</v>
      </c>
      <c r="I254" s="89" t="e">
        <f t="shared" ref="I254:I257" si="213">H254/G254*100</f>
        <v>#DIV/0!</v>
      </c>
    </row>
    <row r="255" spans="1:17" x14ac:dyDescent="0.25">
      <c r="A255" s="255">
        <v>3</v>
      </c>
      <c r="B255" s="256"/>
      <c r="C255" s="257"/>
      <c r="D255" s="112" t="s">
        <v>22</v>
      </c>
      <c r="E255" s="137">
        <f>E256</f>
        <v>0</v>
      </c>
      <c r="F255" s="104">
        <f t="shared" ref="F255:I255" si="214">F256</f>
        <v>0</v>
      </c>
      <c r="G255" s="90">
        <f t="shared" si="214"/>
        <v>0</v>
      </c>
      <c r="H255" s="90">
        <f t="shared" si="214"/>
        <v>0</v>
      </c>
      <c r="I255" s="90" t="e">
        <f t="shared" si="213"/>
        <v>#DIV/0!</v>
      </c>
    </row>
    <row r="256" spans="1:17" ht="25.5" x14ac:dyDescent="0.25">
      <c r="A256" s="258">
        <v>32</v>
      </c>
      <c r="B256" s="259"/>
      <c r="C256" s="260"/>
      <c r="D256" s="116" t="s">
        <v>211</v>
      </c>
      <c r="E256" s="138">
        <f>E258</f>
        <v>0</v>
      </c>
      <c r="F256" s="101">
        <f t="shared" ref="F256:I256" si="215">F258</f>
        <v>0</v>
      </c>
      <c r="G256" s="91">
        <f t="shared" si="215"/>
        <v>0</v>
      </c>
      <c r="H256" s="91">
        <f t="shared" si="215"/>
        <v>0</v>
      </c>
      <c r="I256" s="91" t="e">
        <f t="shared" si="213"/>
        <v>#DIV/0!</v>
      </c>
    </row>
    <row r="257" spans="1:11" x14ac:dyDescent="0.25">
      <c r="A257" s="281" t="s">
        <v>360</v>
      </c>
      <c r="B257" s="282"/>
      <c r="C257" s="283"/>
      <c r="D257" s="284" t="s">
        <v>444</v>
      </c>
      <c r="E257" s="285" t="e">
        <f>SUM(E259:E319)</f>
        <v>#DIV/0!</v>
      </c>
      <c r="F257" s="285">
        <f>F258</f>
        <v>0</v>
      </c>
      <c r="G257" s="285">
        <f t="shared" ref="G257:H257" si="216">G258</f>
        <v>0</v>
      </c>
      <c r="H257" s="285">
        <f t="shared" si="216"/>
        <v>0</v>
      </c>
      <c r="I257" s="285" t="e">
        <f t="shared" si="213"/>
        <v>#DIV/0!</v>
      </c>
    </row>
    <row r="258" spans="1:11" ht="25.5" x14ac:dyDescent="0.25">
      <c r="A258" s="249" t="s">
        <v>187</v>
      </c>
      <c r="B258" s="250"/>
      <c r="C258" s="251"/>
      <c r="D258" s="114" t="s">
        <v>210</v>
      </c>
      <c r="E258" s="139">
        <v>0</v>
      </c>
      <c r="F258" s="100">
        <v>0</v>
      </c>
      <c r="G258" s="77">
        <v>0</v>
      </c>
      <c r="H258" s="77"/>
      <c r="I258" s="78"/>
    </row>
    <row r="259" spans="1:11" ht="53.25" customHeight="1" x14ac:dyDescent="0.25">
      <c r="A259" s="264" t="s">
        <v>120</v>
      </c>
      <c r="B259" s="265"/>
      <c r="C259" s="266"/>
      <c r="D259" s="118" t="s">
        <v>94</v>
      </c>
      <c r="E259" s="142" t="e">
        <f>E260+E381+E403+E441+E457</f>
        <v>#DIV/0!</v>
      </c>
      <c r="F259" s="106">
        <f>F260+F381+F403+F441+F457</f>
        <v>645432.72</v>
      </c>
      <c r="G259" s="106">
        <f>G260+G381+G403+G441+G457</f>
        <v>1788215.41</v>
      </c>
      <c r="H259" s="106">
        <f>H260+H381+H403+H441+H457</f>
        <v>815094.87</v>
      </c>
      <c r="I259" s="106">
        <f t="shared" ref="I259:I264" si="217">H259/G259*100</f>
        <v>45.58</v>
      </c>
      <c r="K259" s="41">
        <f>815094.87-H259</f>
        <v>0</v>
      </c>
    </row>
    <row r="260" spans="1:11" ht="14.25" customHeight="1" x14ac:dyDescent="0.25">
      <c r="A260" s="261" t="s">
        <v>56</v>
      </c>
      <c r="B260" s="262"/>
      <c r="C260" s="263"/>
      <c r="D260" s="111" t="s">
        <v>22</v>
      </c>
      <c r="E260" s="135" t="e">
        <f>E261+E321+E334+E370</f>
        <v>#DIV/0!</v>
      </c>
      <c r="F260" s="88">
        <f>F261+F321+F334+F370+F294</f>
        <v>13598.93</v>
      </c>
      <c r="G260" s="88">
        <f>G261+G321+G334+G370</f>
        <v>42230</v>
      </c>
      <c r="H260" s="88">
        <f>H261+H321+H334+H370</f>
        <v>20923.61</v>
      </c>
      <c r="I260" s="88">
        <f t="shared" si="217"/>
        <v>49.55</v>
      </c>
    </row>
    <row r="261" spans="1:11" ht="15" customHeight="1" x14ac:dyDescent="0.25">
      <c r="A261" s="252" t="s">
        <v>133</v>
      </c>
      <c r="B261" s="253"/>
      <c r="C261" s="254"/>
      <c r="D261" s="103" t="s">
        <v>40</v>
      </c>
      <c r="E261" s="136" t="e">
        <f>E262+E286</f>
        <v>#DIV/0!</v>
      </c>
      <c r="F261" s="89">
        <f t="shared" ref="F261:I261" si="218">F262+F286</f>
        <v>595.95000000000005</v>
      </c>
      <c r="G261" s="89">
        <f t="shared" si="218"/>
        <v>6260</v>
      </c>
      <c r="H261" s="89">
        <f t="shared" si="218"/>
        <v>1233.6099999999999</v>
      </c>
      <c r="I261" s="89">
        <f t="shared" si="217"/>
        <v>19.71</v>
      </c>
    </row>
    <row r="262" spans="1:11" x14ac:dyDescent="0.25">
      <c r="A262" s="255">
        <v>3</v>
      </c>
      <c r="B262" s="256"/>
      <c r="C262" s="257"/>
      <c r="D262" s="112" t="s">
        <v>22</v>
      </c>
      <c r="E262" s="137" t="e">
        <f>E263+E282</f>
        <v>#DIV/0!</v>
      </c>
      <c r="F262" s="90">
        <f t="shared" ref="F262:I262" si="219">F263+F282</f>
        <v>545.73</v>
      </c>
      <c r="G262" s="90">
        <f t="shared" si="219"/>
        <v>2460</v>
      </c>
      <c r="H262" s="90">
        <f t="shared" si="219"/>
        <v>104.55</v>
      </c>
      <c r="I262" s="90">
        <f t="shared" si="217"/>
        <v>4.25</v>
      </c>
    </row>
    <row r="263" spans="1:11" x14ac:dyDescent="0.25">
      <c r="A263" s="258">
        <v>32</v>
      </c>
      <c r="B263" s="259"/>
      <c r="C263" s="260"/>
      <c r="D263" s="116" t="s">
        <v>36</v>
      </c>
      <c r="E263" s="138" t="e">
        <f>SUM(E265:E281)</f>
        <v>#DIV/0!</v>
      </c>
      <c r="F263" s="91">
        <f>F264+F268+F272+F275+F279</f>
        <v>545.73</v>
      </c>
      <c r="G263" s="91">
        <f t="shared" ref="G263:H263" si="220">G264+G268+G272+G275+G279</f>
        <v>2390</v>
      </c>
      <c r="H263" s="91">
        <f t="shared" si="220"/>
        <v>104.27</v>
      </c>
      <c r="I263" s="91">
        <f t="shared" si="217"/>
        <v>4.3600000000000003</v>
      </c>
    </row>
    <row r="264" spans="1:11" x14ac:dyDescent="0.25">
      <c r="A264" s="281" t="s">
        <v>345</v>
      </c>
      <c r="B264" s="282"/>
      <c r="C264" s="283"/>
      <c r="D264" s="284" t="s">
        <v>448</v>
      </c>
      <c r="E264" s="285" t="e">
        <f>SUM(E266:E325)</f>
        <v>#DIV/0!</v>
      </c>
      <c r="F264" s="285">
        <f>SUM(F265:F267)</f>
        <v>401.02</v>
      </c>
      <c r="G264" s="285">
        <f t="shared" ref="G264:H264" si="221">SUM(G265:G267)</f>
        <v>200</v>
      </c>
      <c r="H264" s="285">
        <f t="shared" si="221"/>
        <v>0</v>
      </c>
      <c r="I264" s="285">
        <f t="shared" si="217"/>
        <v>0</v>
      </c>
    </row>
    <row r="265" spans="1:11" x14ac:dyDescent="0.25">
      <c r="A265" s="249">
        <v>3211</v>
      </c>
      <c r="B265" s="250"/>
      <c r="C265" s="251"/>
      <c r="D265" s="114" t="s">
        <v>58</v>
      </c>
      <c r="E265" s="139">
        <f>1209.15/K1</f>
        <v>160.47999999999999</v>
      </c>
      <c r="F265" s="100">
        <v>401.02</v>
      </c>
      <c r="G265" s="100">
        <v>100</v>
      </c>
      <c r="H265" s="100">
        <v>0</v>
      </c>
      <c r="I265" s="100"/>
    </row>
    <row r="266" spans="1:11" x14ac:dyDescent="0.25">
      <c r="A266" s="249">
        <v>3213</v>
      </c>
      <c r="B266" s="250">
        <v>3213</v>
      </c>
      <c r="C266" s="251">
        <v>3213</v>
      </c>
      <c r="D266" s="114" t="s">
        <v>59</v>
      </c>
      <c r="E266" s="139">
        <v>0</v>
      </c>
      <c r="F266" s="100"/>
      <c r="G266" s="100">
        <v>50</v>
      </c>
      <c r="H266" s="100">
        <v>0</v>
      </c>
      <c r="I266" s="100"/>
    </row>
    <row r="267" spans="1:11" x14ac:dyDescent="0.25">
      <c r="A267" s="249" t="s">
        <v>204</v>
      </c>
      <c r="B267" s="250">
        <v>3213</v>
      </c>
      <c r="C267" s="251">
        <v>3213</v>
      </c>
      <c r="D267" s="114" t="s">
        <v>205</v>
      </c>
      <c r="E267" s="139">
        <v>0</v>
      </c>
      <c r="F267" s="100"/>
      <c r="G267" s="100">
        <v>50</v>
      </c>
      <c r="H267" s="100">
        <v>0</v>
      </c>
      <c r="I267" s="100"/>
    </row>
    <row r="268" spans="1:11" x14ac:dyDescent="0.25">
      <c r="A268" s="281">
        <v>322</v>
      </c>
      <c r="B268" s="282"/>
      <c r="C268" s="283"/>
      <c r="D268" s="284" t="s">
        <v>36</v>
      </c>
      <c r="E268" s="285" t="e">
        <f>SUM(E271:E303)</f>
        <v>#DIV/0!</v>
      </c>
      <c r="F268" s="285">
        <f>SUM(F269:F271)</f>
        <v>4.6500000000000004</v>
      </c>
      <c r="G268" s="285">
        <f t="shared" ref="G268:H268" si="222">SUM(G269:G271)</f>
        <v>350</v>
      </c>
      <c r="H268" s="285">
        <f t="shared" si="222"/>
        <v>54.25</v>
      </c>
      <c r="I268" s="285">
        <f t="shared" ref="I268" si="223">H268/G268*100</f>
        <v>15.5</v>
      </c>
    </row>
    <row r="269" spans="1:11" x14ac:dyDescent="0.25">
      <c r="A269" s="249">
        <v>3221</v>
      </c>
      <c r="B269" s="250">
        <v>3221</v>
      </c>
      <c r="C269" s="251">
        <v>3221</v>
      </c>
      <c r="D269" s="114" t="s">
        <v>60</v>
      </c>
      <c r="E269" s="139">
        <f>107.84/K1</f>
        <v>14.31</v>
      </c>
      <c r="F269" s="100">
        <v>3.65</v>
      </c>
      <c r="G269" s="100">
        <v>100</v>
      </c>
      <c r="H269" s="100">
        <v>54.25</v>
      </c>
      <c r="I269" s="100"/>
    </row>
    <row r="270" spans="1:11" x14ac:dyDescent="0.25">
      <c r="A270" s="249">
        <v>3223</v>
      </c>
      <c r="B270" s="250">
        <v>3223</v>
      </c>
      <c r="C270" s="251">
        <v>3223</v>
      </c>
      <c r="D270" s="114" t="s">
        <v>61</v>
      </c>
      <c r="E270" s="139">
        <v>0</v>
      </c>
      <c r="F270" s="100">
        <v>1</v>
      </c>
      <c r="G270" s="100">
        <v>50</v>
      </c>
      <c r="H270" s="100">
        <v>0</v>
      </c>
      <c r="I270" s="100"/>
    </row>
    <row r="271" spans="1:11" x14ac:dyDescent="0.25">
      <c r="A271" s="249" t="s">
        <v>186</v>
      </c>
      <c r="B271" s="250">
        <v>3223</v>
      </c>
      <c r="C271" s="251">
        <v>3223</v>
      </c>
      <c r="D271" s="117" t="s">
        <v>78</v>
      </c>
      <c r="E271" s="139">
        <f>430.86/K1</f>
        <v>57.18</v>
      </c>
      <c r="F271" s="100"/>
      <c r="G271" s="100">
        <v>200</v>
      </c>
      <c r="H271" s="100">
        <v>0</v>
      </c>
      <c r="I271" s="100"/>
    </row>
    <row r="272" spans="1:11" x14ac:dyDescent="0.25">
      <c r="A272" s="281">
        <v>322</v>
      </c>
      <c r="B272" s="282"/>
      <c r="C272" s="283"/>
      <c r="D272" s="284" t="s">
        <v>451</v>
      </c>
      <c r="E272" s="285" t="e">
        <f>SUM(E276:E307)</f>
        <v>#DIV/0!</v>
      </c>
      <c r="F272" s="285">
        <f>SUM(F273:F274)</f>
        <v>0</v>
      </c>
      <c r="G272" s="285">
        <f t="shared" ref="G272:H272" si="224">SUM(G273:G274)</f>
        <v>520</v>
      </c>
      <c r="H272" s="285">
        <f t="shared" si="224"/>
        <v>11.09</v>
      </c>
      <c r="I272" s="285">
        <f t="shared" ref="I272" si="225">H272/G272*100</f>
        <v>2.13</v>
      </c>
    </row>
    <row r="273" spans="1:9" x14ac:dyDescent="0.25">
      <c r="A273" s="119">
        <v>3231</v>
      </c>
      <c r="B273" s="120"/>
      <c r="C273" s="121"/>
      <c r="D273" s="114" t="s">
        <v>64</v>
      </c>
      <c r="E273" s="139">
        <f>915.24/K1</f>
        <v>121.47</v>
      </c>
      <c r="F273" s="100"/>
      <c r="G273" s="100">
        <v>20</v>
      </c>
      <c r="H273" s="100">
        <v>11.09</v>
      </c>
      <c r="I273" s="100"/>
    </row>
    <row r="274" spans="1:9" ht="26.25" x14ac:dyDescent="0.25">
      <c r="A274" s="249" t="s">
        <v>187</v>
      </c>
      <c r="B274" s="250">
        <v>3233</v>
      </c>
      <c r="C274" s="251">
        <v>3233</v>
      </c>
      <c r="D274" s="117" t="s">
        <v>96</v>
      </c>
      <c r="E274" s="139">
        <f>43.34/K1</f>
        <v>5.75</v>
      </c>
      <c r="F274" s="100"/>
      <c r="G274" s="100">
        <v>500</v>
      </c>
      <c r="H274" s="100">
        <v>0</v>
      </c>
      <c r="I274" s="100"/>
    </row>
    <row r="275" spans="1:9" x14ac:dyDescent="0.25">
      <c r="A275" s="281" t="s">
        <v>360</v>
      </c>
      <c r="B275" s="282"/>
      <c r="C275" s="283"/>
      <c r="D275" s="284" t="s">
        <v>444</v>
      </c>
      <c r="E275" s="285" t="e">
        <f>SUM(E277:E314)</f>
        <v>#DIV/0!</v>
      </c>
      <c r="F275" s="285">
        <f>SUM(F276:F278)</f>
        <v>0.01</v>
      </c>
      <c r="G275" s="285">
        <f t="shared" ref="G275:H275" si="226">SUM(G276:G278)</f>
        <v>520</v>
      </c>
      <c r="H275" s="285">
        <f t="shared" si="226"/>
        <v>0</v>
      </c>
      <c r="I275" s="285">
        <f t="shared" ref="I275" si="227">H275/G275*100</f>
        <v>0</v>
      </c>
    </row>
    <row r="276" spans="1:9" x14ac:dyDescent="0.25">
      <c r="A276" s="249">
        <v>3235</v>
      </c>
      <c r="B276" s="250">
        <v>3235</v>
      </c>
      <c r="C276" s="251">
        <v>3235</v>
      </c>
      <c r="D276" s="114" t="s">
        <v>67</v>
      </c>
      <c r="E276" s="139">
        <f>300/K1</f>
        <v>39.82</v>
      </c>
      <c r="F276" s="100"/>
      <c r="G276" s="100">
        <v>20</v>
      </c>
      <c r="H276" s="100">
        <v>0</v>
      </c>
      <c r="I276" s="100"/>
    </row>
    <row r="277" spans="1:9" x14ac:dyDescent="0.25">
      <c r="A277" s="249">
        <v>3239</v>
      </c>
      <c r="B277" s="250">
        <v>3239</v>
      </c>
      <c r="C277" s="251">
        <v>3239</v>
      </c>
      <c r="D277" s="114" t="s">
        <v>71</v>
      </c>
      <c r="E277" s="139">
        <f>295.8/K1</f>
        <v>39.26</v>
      </c>
      <c r="F277" s="100">
        <v>0.01</v>
      </c>
      <c r="G277" s="100">
        <v>500</v>
      </c>
      <c r="H277" s="100">
        <v>0</v>
      </c>
      <c r="I277" s="100"/>
    </row>
    <row r="278" spans="1:9" x14ac:dyDescent="0.25">
      <c r="A278" s="249">
        <v>3299</v>
      </c>
      <c r="B278" s="250">
        <v>3299</v>
      </c>
      <c r="C278" s="251">
        <v>3299</v>
      </c>
      <c r="D278" s="114" t="s">
        <v>75</v>
      </c>
      <c r="E278" s="139">
        <v>0</v>
      </c>
      <c r="F278" s="100"/>
      <c r="G278" s="100">
        <v>0</v>
      </c>
      <c r="H278" s="100">
        <v>0</v>
      </c>
      <c r="I278" s="100"/>
    </row>
    <row r="279" spans="1:9" x14ac:dyDescent="0.25">
      <c r="A279" s="281" t="s">
        <v>376</v>
      </c>
      <c r="B279" s="282"/>
      <c r="C279" s="283"/>
      <c r="D279" s="284" t="s">
        <v>101</v>
      </c>
      <c r="E279" s="285" t="e">
        <f>SUM(E281:E318)</f>
        <v>#DIV/0!</v>
      </c>
      <c r="F279" s="285">
        <f>SUM(F280:F281)</f>
        <v>140.05000000000001</v>
      </c>
      <c r="G279" s="285">
        <f t="shared" ref="G279:H279" si="228">SUM(G280:G281)</f>
        <v>800</v>
      </c>
      <c r="H279" s="285">
        <f t="shared" si="228"/>
        <v>38.93</v>
      </c>
      <c r="I279" s="285">
        <f t="shared" ref="I279" si="229">H279/G279*100</f>
        <v>4.87</v>
      </c>
    </row>
    <row r="280" spans="1:9" x14ac:dyDescent="0.25">
      <c r="A280" s="249">
        <v>3293</v>
      </c>
      <c r="B280" s="250">
        <v>3293</v>
      </c>
      <c r="C280" s="251">
        <v>3293</v>
      </c>
      <c r="D280" s="114" t="s">
        <v>72</v>
      </c>
      <c r="E280" s="139">
        <f>2245.43/K1</f>
        <v>298.02</v>
      </c>
      <c r="F280" s="100">
        <v>85.96</v>
      </c>
      <c r="G280" s="100">
        <v>300</v>
      </c>
      <c r="H280" s="100">
        <v>0</v>
      </c>
      <c r="I280" s="100"/>
    </row>
    <row r="281" spans="1:9" x14ac:dyDescent="0.25">
      <c r="A281" s="249">
        <v>3299</v>
      </c>
      <c r="B281" s="250">
        <v>3299</v>
      </c>
      <c r="C281" s="251">
        <v>3299</v>
      </c>
      <c r="D281" s="114" t="s">
        <v>75</v>
      </c>
      <c r="E281" s="139">
        <f>7468.88/K1</f>
        <v>991.29</v>
      </c>
      <c r="F281" s="100">
        <v>54.09</v>
      </c>
      <c r="G281" s="100">
        <v>500</v>
      </c>
      <c r="H281" s="100">
        <v>38.93</v>
      </c>
      <c r="I281" s="78"/>
    </row>
    <row r="282" spans="1:9" x14ac:dyDescent="0.25">
      <c r="A282" s="258">
        <v>34</v>
      </c>
      <c r="B282" s="259"/>
      <c r="C282" s="260"/>
      <c r="D282" s="116" t="s">
        <v>98</v>
      </c>
      <c r="E282" s="138">
        <f>SUM(E284:E285)</f>
        <v>50.05</v>
      </c>
      <c r="F282" s="91">
        <f t="shared" ref="F282:I282" si="230">SUM(F284:F285)</f>
        <v>0</v>
      </c>
      <c r="G282" s="101">
        <f t="shared" si="230"/>
        <v>70</v>
      </c>
      <c r="H282" s="101">
        <f t="shared" si="230"/>
        <v>0.28000000000000003</v>
      </c>
      <c r="I282" s="91">
        <f t="shared" ref="I282:I283" si="231">H282/G282*100</f>
        <v>0.4</v>
      </c>
    </row>
    <row r="283" spans="1:9" x14ac:dyDescent="0.25">
      <c r="A283" s="281" t="s">
        <v>385</v>
      </c>
      <c r="B283" s="282"/>
      <c r="C283" s="283"/>
      <c r="D283" s="284" t="s">
        <v>98</v>
      </c>
      <c r="E283" s="285" t="e">
        <f>SUM(E285:E312)</f>
        <v>#DIV/0!</v>
      </c>
      <c r="F283" s="285">
        <f>SUM(F284:F285)</f>
        <v>0</v>
      </c>
      <c r="G283" s="285">
        <f t="shared" ref="G283:H283" si="232">SUM(G284:G285)</f>
        <v>70</v>
      </c>
      <c r="H283" s="285">
        <f t="shared" si="232"/>
        <v>0.28000000000000003</v>
      </c>
      <c r="I283" s="285">
        <f t="shared" si="231"/>
        <v>0.4</v>
      </c>
    </row>
    <row r="284" spans="1:9" ht="26.25" x14ac:dyDescent="0.25">
      <c r="A284" s="249" t="s">
        <v>177</v>
      </c>
      <c r="B284" s="250">
        <v>3293</v>
      </c>
      <c r="C284" s="251">
        <v>3293</v>
      </c>
      <c r="D284" s="117" t="s">
        <v>99</v>
      </c>
      <c r="E284" s="139">
        <f>172.82/K1</f>
        <v>22.94</v>
      </c>
      <c r="F284" s="100"/>
      <c r="G284" s="100">
        <v>50</v>
      </c>
      <c r="H284" s="100">
        <v>0</v>
      </c>
      <c r="I284" s="100"/>
    </row>
    <row r="285" spans="1:9" x14ac:dyDescent="0.25">
      <c r="A285" s="249" t="s">
        <v>188</v>
      </c>
      <c r="B285" s="250">
        <v>3299</v>
      </c>
      <c r="C285" s="251">
        <v>3299</v>
      </c>
      <c r="D285" s="117" t="s">
        <v>100</v>
      </c>
      <c r="E285" s="139">
        <f>204.28/K1</f>
        <v>27.11</v>
      </c>
      <c r="F285" s="100"/>
      <c r="G285" s="100">
        <v>20</v>
      </c>
      <c r="H285" s="100">
        <v>0.28000000000000003</v>
      </c>
      <c r="I285" s="100"/>
    </row>
    <row r="286" spans="1:9" ht="25.5" x14ac:dyDescent="0.25">
      <c r="A286" s="255">
        <v>4</v>
      </c>
      <c r="B286" s="256"/>
      <c r="C286" s="257"/>
      <c r="D286" s="112" t="s">
        <v>24</v>
      </c>
      <c r="E286" s="137" t="e">
        <f>E287</f>
        <v>#DIV/0!</v>
      </c>
      <c r="F286" s="90">
        <f t="shared" ref="F286:I286" si="233">F287</f>
        <v>50.22</v>
      </c>
      <c r="G286" s="90">
        <f t="shared" si="233"/>
        <v>3800</v>
      </c>
      <c r="H286" s="90">
        <f t="shared" si="233"/>
        <v>1129.06</v>
      </c>
      <c r="I286" s="90">
        <f t="shared" ref="I286:I288" si="234">H286/G286*100</f>
        <v>29.71</v>
      </c>
    </row>
    <row r="287" spans="1:9" ht="25.5" x14ac:dyDescent="0.25">
      <c r="A287" s="258">
        <v>42</v>
      </c>
      <c r="B287" s="259"/>
      <c r="C287" s="260"/>
      <c r="D287" s="116" t="s">
        <v>104</v>
      </c>
      <c r="E287" s="138" t="e">
        <f>SUM(E289:E293)</f>
        <v>#DIV/0!</v>
      </c>
      <c r="F287" s="91">
        <f>F288+F292</f>
        <v>50.22</v>
      </c>
      <c r="G287" s="91">
        <f t="shared" ref="G287:H287" si="235">G288+G292</f>
        <v>3800</v>
      </c>
      <c r="H287" s="91">
        <f t="shared" si="235"/>
        <v>1129.06</v>
      </c>
      <c r="I287" s="91">
        <f t="shared" si="234"/>
        <v>29.71</v>
      </c>
    </row>
    <row r="288" spans="1:9" x14ac:dyDescent="0.25">
      <c r="A288" s="281" t="s">
        <v>401</v>
      </c>
      <c r="B288" s="282"/>
      <c r="C288" s="283"/>
      <c r="D288" s="284" t="s">
        <v>449</v>
      </c>
      <c r="E288" s="285" t="e">
        <f>SUM(E290:E360)</f>
        <v>#DIV/0!</v>
      </c>
      <c r="F288" s="285">
        <f>SUM(F289:F291)</f>
        <v>50.22</v>
      </c>
      <c r="G288" s="285">
        <f t="shared" ref="G288:H288" si="236">SUM(G289:G291)</f>
        <v>3700</v>
      </c>
      <c r="H288" s="285">
        <f t="shared" si="236"/>
        <v>1120.31</v>
      </c>
      <c r="I288" s="285">
        <f t="shared" si="234"/>
        <v>30.28</v>
      </c>
    </row>
    <row r="289" spans="1:9" x14ac:dyDescent="0.25">
      <c r="A289" s="249" t="s">
        <v>189</v>
      </c>
      <c r="B289" s="250"/>
      <c r="C289" s="251"/>
      <c r="D289" s="117" t="s">
        <v>105</v>
      </c>
      <c r="E289" s="139">
        <f>18916.5/K1</f>
        <v>2510.65</v>
      </c>
      <c r="F289" s="100">
        <v>50.22</v>
      </c>
      <c r="G289" s="100">
        <v>2000</v>
      </c>
      <c r="H289" s="100">
        <v>0</v>
      </c>
      <c r="I289" s="100"/>
    </row>
    <row r="290" spans="1:9" x14ac:dyDescent="0.25">
      <c r="A290" s="249" t="s">
        <v>190</v>
      </c>
      <c r="B290" s="250"/>
      <c r="C290" s="251"/>
      <c r="D290" s="117" t="s">
        <v>106</v>
      </c>
      <c r="E290" s="139">
        <v>0</v>
      </c>
      <c r="F290" s="100"/>
      <c r="G290" s="100">
        <v>300</v>
      </c>
      <c r="H290" s="100">
        <v>0</v>
      </c>
      <c r="I290" s="100"/>
    </row>
    <row r="291" spans="1:9" ht="20.25" customHeight="1" x14ac:dyDescent="0.25">
      <c r="A291" s="249" t="s">
        <v>191</v>
      </c>
      <c r="B291" s="250"/>
      <c r="C291" s="251"/>
      <c r="D291" s="117" t="s">
        <v>107</v>
      </c>
      <c r="E291" s="139">
        <f>14054.19/K1</f>
        <v>1865.31</v>
      </c>
      <c r="F291" s="100"/>
      <c r="G291" s="77">
        <v>1400</v>
      </c>
      <c r="H291" s="77">
        <v>1120.31</v>
      </c>
      <c r="I291" s="100"/>
    </row>
    <row r="292" spans="1:9" x14ac:dyDescent="0.25">
      <c r="A292" s="281" t="s">
        <v>406</v>
      </c>
      <c r="B292" s="282"/>
      <c r="C292" s="283"/>
      <c r="D292" s="284" t="s">
        <v>270</v>
      </c>
      <c r="E292" s="285" t="e">
        <f>SUM(E294:E366)</f>
        <v>#DIV/0!</v>
      </c>
      <c r="F292" s="285">
        <f>F293</f>
        <v>0</v>
      </c>
      <c r="G292" s="285">
        <f t="shared" ref="G292" si="237">G293</f>
        <v>100</v>
      </c>
      <c r="H292" s="285">
        <f t="shared" ref="H292" si="238">H293</f>
        <v>8.75</v>
      </c>
      <c r="I292" s="285">
        <f t="shared" ref="I292" si="239">H292/G292*100</f>
        <v>8.75</v>
      </c>
    </row>
    <row r="293" spans="1:9" x14ac:dyDescent="0.25">
      <c r="A293" s="249" t="s">
        <v>192</v>
      </c>
      <c r="B293" s="250"/>
      <c r="C293" s="251"/>
      <c r="D293" s="117" t="s">
        <v>108</v>
      </c>
      <c r="E293" s="139">
        <f>509.86/K1</f>
        <v>67.67</v>
      </c>
      <c r="F293" s="100">
        <v>0</v>
      </c>
      <c r="G293" s="100">
        <v>100</v>
      </c>
      <c r="H293" s="100">
        <v>8.75</v>
      </c>
      <c r="I293" s="100"/>
    </row>
    <row r="294" spans="1:9" ht="15" customHeight="1" x14ac:dyDescent="0.25">
      <c r="A294" s="252" t="s">
        <v>140</v>
      </c>
      <c r="B294" s="253"/>
      <c r="C294" s="254"/>
      <c r="D294" s="103" t="s">
        <v>141</v>
      </c>
      <c r="E294" s="136">
        <f>E295+E315</f>
        <v>0</v>
      </c>
      <c r="F294" s="89">
        <f>F295+F315</f>
        <v>0</v>
      </c>
      <c r="G294" s="89">
        <f>G295+G315</f>
        <v>0</v>
      </c>
      <c r="H294" s="89">
        <f>H295+H315</f>
        <v>0</v>
      </c>
      <c r="I294" s="89">
        <f>I295+I315</f>
        <v>0</v>
      </c>
    </row>
    <row r="295" spans="1:9" x14ac:dyDescent="0.25">
      <c r="A295" s="255">
        <v>3</v>
      </c>
      <c r="B295" s="256"/>
      <c r="C295" s="257"/>
      <c r="D295" s="112" t="s">
        <v>22</v>
      </c>
      <c r="E295" s="137">
        <f>E296+E312</f>
        <v>0</v>
      </c>
      <c r="F295" s="90">
        <f>F296+F312</f>
        <v>0</v>
      </c>
      <c r="G295" s="90">
        <f>G296+G312</f>
        <v>0</v>
      </c>
      <c r="H295" s="90">
        <f>H296+H312</f>
        <v>0</v>
      </c>
      <c r="I295" s="90">
        <f>I296+I312</f>
        <v>0</v>
      </c>
    </row>
    <row r="296" spans="1:9" x14ac:dyDescent="0.25">
      <c r="A296" s="258">
        <v>32</v>
      </c>
      <c r="B296" s="259"/>
      <c r="C296" s="260"/>
      <c r="D296" s="116" t="s">
        <v>36</v>
      </c>
      <c r="E296" s="138">
        <f>SUM(E297:E311)</f>
        <v>0</v>
      </c>
      <c r="F296" s="91">
        <f>SUM(F297:F311)</f>
        <v>0</v>
      </c>
      <c r="G296" s="91">
        <f>SUM(G297:G311)</f>
        <v>0</v>
      </c>
      <c r="H296" s="91">
        <f>SUM(H297:H311)</f>
        <v>0</v>
      </c>
      <c r="I296" s="91">
        <f>SUM(I297:I311)</f>
        <v>0</v>
      </c>
    </row>
    <row r="297" spans="1:9" x14ac:dyDescent="0.25">
      <c r="A297" s="249">
        <v>3211</v>
      </c>
      <c r="B297" s="250"/>
      <c r="C297" s="251"/>
      <c r="D297" s="114" t="s">
        <v>58</v>
      </c>
      <c r="E297" s="139">
        <v>0</v>
      </c>
      <c r="F297" s="100"/>
      <c r="G297" s="77"/>
      <c r="H297" s="77"/>
      <c r="I297" s="78"/>
    </row>
    <row r="298" spans="1:9" x14ac:dyDescent="0.25">
      <c r="A298" s="249">
        <v>3213</v>
      </c>
      <c r="B298" s="250">
        <v>3213</v>
      </c>
      <c r="C298" s="251">
        <v>3213</v>
      </c>
      <c r="D298" s="114" t="s">
        <v>59</v>
      </c>
      <c r="E298" s="139">
        <v>0</v>
      </c>
      <c r="F298" s="100"/>
      <c r="G298" s="77"/>
      <c r="H298" s="77"/>
      <c r="I298" s="78"/>
    </row>
    <row r="299" spans="1:9" x14ac:dyDescent="0.25">
      <c r="A299" s="249">
        <v>3221</v>
      </c>
      <c r="B299" s="250">
        <v>3221</v>
      </c>
      <c r="C299" s="251">
        <v>3221</v>
      </c>
      <c r="D299" s="114" t="s">
        <v>60</v>
      </c>
      <c r="E299" s="139">
        <v>0</v>
      </c>
      <c r="F299" s="100"/>
      <c r="G299" s="77"/>
      <c r="H299" s="77"/>
      <c r="I299" s="78"/>
    </row>
    <row r="300" spans="1:9" x14ac:dyDescent="0.25">
      <c r="A300" s="249">
        <v>3223</v>
      </c>
      <c r="B300" s="250">
        <v>3223</v>
      </c>
      <c r="C300" s="251">
        <v>3223</v>
      </c>
      <c r="D300" s="114" t="s">
        <v>61</v>
      </c>
      <c r="E300" s="139">
        <v>0</v>
      </c>
      <c r="F300" s="100"/>
      <c r="G300" s="77"/>
      <c r="H300" s="77"/>
      <c r="I300" s="78"/>
    </row>
    <row r="301" spans="1:9" x14ac:dyDescent="0.25">
      <c r="A301" s="249" t="s">
        <v>186</v>
      </c>
      <c r="B301" s="250">
        <v>3223</v>
      </c>
      <c r="C301" s="251">
        <v>3223</v>
      </c>
      <c r="D301" s="117" t="s">
        <v>78</v>
      </c>
      <c r="E301" s="139">
        <v>0</v>
      </c>
      <c r="F301" s="100"/>
      <c r="G301" s="77"/>
      <c r="H301" s="77"/>
      <c r="I301" s="78"/>
    </row>
    <row r="302" spans="1:9" x14ac:dyDescent="0.25">
      <c r="A302" s="249" t="s">
        <v>201</v>
      </c>
      <c r="B302" s="250">
        <v>3223</v>
      </c>
      <c r="C302" s="251">
        <v>3223</v>
      </c>
      <c r="D302" s="117" t="s">
        <v>95</v>
      </c>
      <c r="E302" s="139">
        <v>0</v>
      </c>
      <c r="F302" s="100"/>
      <c r="G302" s="77"/>
      <c r="H302" s="77"/>
      <c r="I302" s="78"/>
    </row>
    <row r="303" spans="1:9" ht="26.25" x14ac:dyDescent="0.25">
      <c r="A303" s="249" t="s">
        <v>206</v>
      </c>
      <c r="B303" s="250">
        <v>3223</v>
      </c>
      <c r="C303" s="251">
        <v>3223</v>
      </c>
      <c r="D303" s="117" t="s">
        <v>257</v>
      </c>
      <c r="E303" s="139">
        <v>0</v>
      </c>
      <c r="F303" s="100"/>
      <c r="G303" s="77"/>
      <c r="H303" s="77"/>
      <c r="I303" s="78"/>
    </row>
    <row r="304" spans="1:9" x14ac:dyDescent="0.25">
      <c r="A304" s="119">
        <v>3231</v>
      </c>
      <c r="B304" s="120"/>
      <c r="C304" s="121"/>
      <c r="D304" s="114" t="s">
        <v>64</v>
      </c>
      <c r="E304" s="139">
        <v>0</v>
      </c>
      <c r="F304" s="100"/>
      <c r="G304" s="77"/>
      <c r="H304" s="77"/>
      <c r="I304" s="78"/>
    </row>
    <row r="305" spans="1:9" ht="26.25" x14ac:dyDescent="0.25">
      <c r="A305" s="249" t="s">
        <v>187</v>
      </c>
      <c r="B305" s="250">
        <v>3233</v>
      </c>
      <c r="C305" s="251">
        <v>3233</v>
      </c>
      <c r="D305" s="117" t="s">
        <v>96</v>
      </c>
      <c r="E305" s="139">
        <v>0</v>
      </c>
      <c r="F305" s="100"/>
      <c r="G305" s="77"/>
      <c r="H305" s="77"/>
      <c r="I305" s="78"/>
    </row>
    <row r="306" spans="1:9" x14ac:dyDescent="0.25">
      <c r="A306" s="249" t="s">
        <v>208</v>
      </c>
      <c r="B306" s="250">
        <v>3233</v>
      </c>
      <c r="C306" s="251">
        <v>3233</v>
      </c>
      <c r="D306" s="117" t="s">
        <v>65</v>
      </c>
      <c r="E306" s="139">
        <v>0</v>
      </c>
      <c r="F306" s="100"/>
      <c r="G306" s="77"/>
      <c r="H306" s="77"/>
      <c r="I306" s="78"/>
    </row>
    <row r="307" spans="1:9" x14ac:dyDescent="0.25">
      <c r="A307" s="249">
        <v>3235</v>
      </c>
      <c r="B307" s="250">
        <v>3235</v>
      </c>
      <c r="C307" s="251">
        <v>3235</v>
      </c>
      <c r="D307" s="114" t="s">
        <v>67</v>
      </c>
      <c r="E307" s="139">
        <v>0</v>
      </c>
      <c r="F307" s="100"/>
      <c r="G307" s="77"/>
      <c r="H307" s="77"/>
      <c r="I307" s="78"/>
    </row>
    <row r="308" spans="1:9" x14ac:dyDescent="0.25">
      <c r="A308" s="249" t="s">
        <v>207</v>
      </c>
      <c r="B308" s="250">
        <v>3235</v>
      </c>
      <c r="C308" s="251">
        <v>3235</v>
      </c>
      <c r="D308" s="114" t="s">
        <v>69</v>
      </c>
      <c r="E308" s="139">
        <v>0</v>
      </c>
      <c r="F308" s="100"/>
      <c r="G308" s="77"/>
      <c r="H308" s="77"/>
      <c r="I308" s="78"/>
    </row>
    <row r="309" spans="1:9" x14ac:dyDescent="0.25">
      <c r="A309" s="249">
        <v>3239</v>
      </c>
      <c r="B309" s="250">
        <v>3239</v>
      </c>
      <c r="C309" s="251">
        <v>3239</v>
      </c>
      <c r="D309" s="114" t="s">
        <v>71</v>
      </c>
      <c r="E309" s="139">
        <v>0</v>
      </c>
      <c r="F309" s="100"/>
      <c r="G309" s="77"/>
      <c r="H309" s="77"/>
      <c r="I309" s="78"/>
    </row>
    <row r="310" spans="1:9" x14ac:dyDescent="0.25">
      <c r="A310" s="249">
        <v>3293</v>
      </c>
      <c r="B310" s="250">
        <v>3293</v>
      </c>
      <c r="C310" s="251">
        <v>3293</v>
      </c>
      <c r="D310" s="114" t="s">
        <v>72</v>
      </c>
      <c r="E310" s="139">
        <v>0</v>
      </c>
      <c r="F310" s="100"/>
      <c r="G310" s="77"/>
      <c r="H310" s="77"/>
      <c r="I310" s="78"/>
    </row>
    <row r="311" spans="1:9" x14ac:dyDescent="0.25">
      <c r="A311" s="249">
        <v>3299</v>
      </c>
      <c r="B311" s="250">
        <v>3299</v>
      </c>
      <c r="C311" s="251">
        <v>3299</v>
      </c>
      <c r="D311" s="114" t="s">
        <v>75</v>
      </c>
      <c r="E311" s="139">
        <v>0</v>
      </c>
      <c r="F311" s="100"/>
      <c r="G311" s="77"/>
      <c r="H311" s="77"/>
      <c r="I311" s="78"/>
    </row>
    <row r="312" spans="1:9" x14ac:dyDescent="0.25">
      <c r="A312" s="258">
        <v>34</v>
      </c>
      <c r="B312" s="259"/>
      <c r="C312" s="260"/>
      <c r="D312" s="116" t="s">
        <v>98</v>
      </c>
      <c r="E312" s="138">
        <f>SUM(E313:E314)</f>
        <v>0</v>
      </c>
      <c r="F312" s="91">
        <f t="shared" ref="F312:I312" si="240">SUM(F313:F314)</f>
        <v>0</v>
      </c>
      <c r="G312" s="91">
        <f t="shared" si="240"/>
        <v>0</v>
      </c>
      <c r="H312" s="91">
        <f t="shared" si="240"/>
        <v>0</v>
      </c>
      <c r="I312" s="91">
        <f t="shared" si="240"/>
        <v>0</v>
      </c>
    </row>
    <row r="313" spans="1:9" ht="26.25" x14ac:dyDescent="0.25">
      <c r="A313" s="249" t="s">
        <v>177</v>
      </c>
      <c r="B313" s="250">
        <v>3293</v>
      </c>
      <c r="C313" s="251">
        <v>3293</v>
      </c>
      <c r="D313" s="117" t="s">
        <v>99</v>
      </c>
      <c r="E313" s="139">
        <v>0</v>
      </c>
      <c r="F313" s="100"/>
      <c r="G313" s="77"/>
      <c r="H313" s="77"/>
      <c r="I313" s="78"/>
    </row>
    <row r="314" spans="1:9" x14ac:dyDescent="0.25">
      <c r="A314" s="249" t="s">
        <v>188</v>
      </c>
      <c r="B314" s="250">
        <v>3299</v>
      </c>
      <c r="C314" s="251">
        <v>3299</v>
      </c>
      <c r="D314" s="117" t="s">
        <v>100</v>
      </c>
      <c r="E314" s="139">
        <v>0</v>
      </c>
      <c r="F314" s="100"/>
      <c r="G314" s="77"/>
      <c r="H314" s="77"/>
      <c r="I314" s="78"/>
    </row>
    <row r="315" spans="1:9" ht="25.5" x14ac:dyDescent="0.25">
      <c r="A315" s="255">
        <v>4</v>
      </c>
      <c r="B315" s="256"/>
      <c r="C315" s="257"/>
      <c r="D315" s="112" t="s">
        <v>24</v>
      </c>
      <c r="E315" s="137">
        <f>E316</f>
        <v>0</v>
      </c>
      <c r="F315" s="90">
        <f t="shared" ref="F315:I315" si="241">F316</f>
        <v>0</v>
      </c>
      <c r="G315" s="90">
        <f t="shared" si="241"/>
        <v>0</v>
      </c>
      <c r="H315" s="90">
        <f t="shared" si="241"/>
        <v>0</v>
      </c>
      <c r="I315" s="90">
        <f t="shared" si="241"/>
        <v>0</v>
      </c>
    </row>
    <row r="316" spans="1:9" ht="25.5" x14ac:dyDescent="0.25">
      <c r="A316" s="258">
        <v>42</v>
      </c>
      <c r="B316" s="259"/>
      <c r="C316" s="260"/>
      <c r="D316" s="116" t="s">
        <v>104</v>
      </c>
      <c r="E316" s="138">
        <f>SUM(E317:E320)</f>
        <v>0</v>
      </c>
      <c r="F316" s="91">
        <f t="shared" ref="F316:I316" si="242">SUM(F317:F320)</f>
        <v>0</v>
      </c>
      <c r="G316" s="91">
        <f t="shared" si="242"/>
        <v>0</v>
      </c>
      <c r="H316" s="91">
        <f t="shared" si="242"/>
        <v>0</v>
      </c>
      <c r="I316" s="91">
        <f t="shared" si="242"/>
        <v>0</v>
      </c>
    </row>
    <row r="317" spans="1:9" x14ac:dyDescent="0.25">
      <c r="A317" s="249" t="s">
        <v>189</v>
      </c>
      <c r="B317" s="250"/>
      <c r="C317" s="251"/>
      <c r="D317" s="117" t="s">
        <v>105</v>
      </c>
      <c r="E317" s="139">
        <v>0</v>
      </c>
      <c r="F317" s="100"/>
      <c r="G317" s="77"/>
      <c r="H317" s="77"/>
      <c r="I317" s="78"/>
    </row>
    <row r="318" spans="1:9" x14ac:dyDescent="0.25">
      <c r="A318" s="249" t="s">
        <v>190</v>
      </c>
      <c r="B318" s="250"/>
      <c r="C318" s="251"/>
      <c r="D318" s="117" t="s">
        <v>106</v>
      </c>
      <c r="E318" s="139">
        <v>0</v>
      </c>
      <c r="F318" s="100"/>
      <c r="G318" s="77"/>
      <c r="H318" s="77"/>
      <c r="I318" s="78"/>
    </row>
    <row r="319" spans="1:9" ht="20.25" customHeight="1" x14ac:dyDescent="0.25">
      <c r="A319" s="249" t="s">
        <v>191</v>
      </c>
      <c r="B319" s="250"/>
      <c r="C319" s="251"/>
      <c r="D319" s="117" t="s">
        <v>107</v>
      </c>
      <c r="E319" s="139">
        <v>0</v>
      </c>
      <c r="F319" s="100"/>
      <c r="G319" s="77"/>
      <c r="H319" s="77"/>
      <c r="I319" s="78"/>
    </row>
    <row r="320" spans="1:9" x14ac:dyDescent="0.25">
      <c r="A320" s="249" t="s">
        <v>192</v>
      </c>
      <c r="B320" s="250"/>
      <c r="C320" s="251"/>
      <c r="D320" s="117" t="s">
        <v>108</v>
      </c>
      <c r="E320" s="139">
        <v>0</v>
      </c>
      <c r="F320" s="100"/>
      <c r="G320" s="77"/>
      <c r="H320" s="77"/>
      <c r="I320" s="78"/>
    </row>
    <row r="321" spans="1:9" ht="15" customHeight="1" x14ac:dyDescent="0.25">
      <c r="A321" s="252" t="s">
        <v>142</v>
      </c>
      <c r="B321" s="253"/>
      <c r="C321" s="254"/>
      <c r="D321" s="103" t="s">
        <v>143</v>
      </c>
      <c r="E321" s="136" t="e">
        <f>E322+E330</f>
        <v>#DIV/0!</v>
      </c>
      <c r="F321" s="89">
        <f t="shared" ref="F321:I321" si="243">F322+F330</f>
        <v>8103.61</v>
      </c>
      <c r="G321" s="89">
        <f t="shared" si="243"/>
        <v>19410</v>
      </c>
      <c r="H321" s="89">
        <f t="shared" si="243"/>
        <v>8973</v>
      </c>
      <c r="I321" s="89">
        <f t="shared" ref="I321:I324" si="244">H321/G321*100</f>
        <v>46.23</v>
      </c>
    </row>
    <row r="322" spans="1:9" x14ac:dyDescent="0.25">
      <c r="A322" s="255">
        <v>3</v>
      </c>
      <c r="B322" s="256"/>
      <c r="C322" s="257"/>
      <c r="D322" s="112" t="s">
        <v>22</v>
      </c>
      <c r="E322" s="137" t="e">
        <f>E323</f>
        <v>#DIV/0!</v>
      </c>
      <c r="F322" s="90">
        <f t="shared" ref="F322:I322" si="245">F323</f>
        <v>8103.61</v>
      </c>
      <c r="G322" s="90">
        <f t="shared" si="245"/>
        <v>19400</v>
      </c>
      <c r="H322" s="90">
        <f t="shared" si="245"/>
        <v>8973</v>
      </c>
      <c r="I322" s="90">
        <f t="shared" si="244"/>
        <v>46.25</v>
      </c>
    </row>
    <row r="323" spans="1:9" x14ac:dyDescent="0.25">
      <c r="A323" s="258">
        <v>32</v>
      </c>
      <c r="B323" s="259"/>
      <c r="C323" s="260"/>
      <c r="D323" s="116" t="s">
        <v>36</v>
      </c>
      <c r="E323" s="138" t="e">
        <f>SUM(E325:E329)</f>
        <v>#DIV/0!</v>
      </c>
      <c r="F323" s="91">
        <f>F324+F327</f>
        <v>8103.61</v>
      </c>
      <c r="G323" s="91">
        <f t="shared" ref="G323:H323" si="246">G324+G327</f>
        <v>19400</v>
      </c>
      <c r="H323" s="91">
        <f t="shared" si="246"/>
        <v>8973</v>
      </c>
      <c r="I323" s="91">
        <f t="shared" si="244"/>
        <v>46.25</v>
      </c>
    </row>
    <row r="324" spans="1:9" x14ac:dyDescent="0.25">
      <c r="A324" s="281" t="s">
        <v>360</v>
      </c>
      <c r="B324" s="282"/>
      <c r="C324" s="283"/>
      <c r="D324" s="284" t="s">
        <v>444</v>
      </c>
      <c r="E324" s="285" t="e">
        <f>SUM(E326:E372)</f>
        <v>#DIV/0!</v>
      </c>
      <c r="F324" s="285">
        <f>SUM(F325:F326)</f>
        <v>5789.94</v>
      </c>
      <c r="G324" s="285">
        <f t="shared" ref="G324:H324" si="247">SUM(G325:G326)</f>
        <v>16000</v>
      </c>
      <c r="H324" s="285">
        <f t="shared" si="247"/>
        <v>8157</v>
      </c>
      <c r="I324" s="285">
        <f t="shared" si="244"/>
        <v>50.98</v>
      </c>
    </row>
    <row r="325" spans="1:9" x14ac:dyDescent="0.25">
      <c r="A325" s="249">
        <v>3231</v>
      </c>
      <c r="B325" s="250">
        <v>3231</v>
      </c>
      <c r="C325" s="251">
        <v>3231</v>
      </c>
      <c r="D325" s="114" t="s">
        <v>64</v>
      </c>
      <c r="E325" s="139">
        <f>80585/K1</f>
        <v>10695.47</v>
      </c>
      <c r="F325" s="100">
        <v>5526.3</v>
      </c>
      <c r="G325" s="100">
        <v>15000</v>
      </c>
      <c r="H325" s="100">
        <v>8157</v>
      </c>
      <c r="I325" s="100"/>
    </row>
    <row r="326" spans="1:9" ht="26.25" x14ac:dyDescent="0.25">
      <c r="A326" s="249" t="s">
        <v>187</v>
      </c>
      <c r="B326" s="250">
        <v>3233</v>
      </c>
      <c r="C326" s="251">
        <v>3233</v>
      </c>
      <c r="D326" s="117" t="s">
        <v>96</v>
      </c>
      <c r="E326" s="139">
        <v>0</v>
      </c>
      <c r="F326" s="100">
        <v>263.64</v>
      </c>
      <c r="G326" s="100">
        <v>1000</v>
      </c>
      <c r="H326" s="100">
        <v>0</v>
      </c>
      <c r="I326" s="100"/>
    </row>
    <row r="327" spans="1:9" x14ac:dyDescent="0.25">
      <c r="A327" s="281" t="s">
        <v>376</v>
      </c>
      <c r="B327" s="282"/>
      <c r="C327" s="283"/>
      <c r="D327" s="284" t="s">
        <v>101</v>
      </c>
      <c r="E327" s="285" t="e">
        <f>SUM(E329:E376)</f>
        <v>#DIV/0!</v>
      </c>
      <c r="F327" s="285">
        <f>SUM(F328:F329)</f>
        <v>2313.67</v>
      </c>
      <c r="G327" s="285">
        <f t="shared" ref="G327" si="248">SUM(G328:G329)</f>
        <v>3400</v>
      </c>
      <c r="H327" s="285">
        <f t="shared" ref="H327" si="249">SUM(H328:H329)</f>
        <v>816</v>
      </c>
      <c r="I327" s="285">
        <f t="shared" ref="I327" si="250">H327/G327*100</f>
        <v>24</v>
      </c>
    </row>
    <row r="328" spans="1:9" x14ac:dyDescent="0.25">
      <c r="A328" s="249" t="s">
        <v>193</v>
      </c>
      <c r="B328" s="250">
        <v>3295</v>
      </c>
      <c r="C328" s="251">
        <v>3295</v>
      </c>
      <c r="D328" s="117" t="s">
        <v>97</v>
      </c>
      <c r="E328" s="139">
        <f>13650/K1</f>
        <v>1811.67</v>
      </c>
      <c r="F328" s="100"/>
      <c r="G328" s="100">
        <v>1900</v>
      </c>
      <c r="H328" s="100">
        <v>0</v>
      </c>
      <c r="I328" s="100"/>
    </row>
    <row r="329" spans="1:9" x14ac:dyDescent="0.25">
      <c r="A329" s="249">
        <v>3299</v>
      </c>
      <c r="B329" s="250">
        <v>3299</v>
      </c>
      <c r="C329" s="251">
        <v>3299</v>
      </c>
      <c r="D329" s="114" t="s">
        <v>75</v>
      </c>
      <c r="E329" s="139">
        <f>18024.27/K1</f>
        <v>2392.23</v>
      </c>
      <c r="F329" s="100">
        <v>2313.67</v>
      </c>
      <c r="G329" s="100">
        <v>1500</v>
      </c>
      <c r="H329" s="100">
        <v>816</v>
      </c>
      <c r="I329" s="100"/>
    </row>
    <row r="330" spans="1:9" ht="25.5" x14ac:dyDescent="0.25">
      <c r="A330" s="255">
        <v>4</v>
      </c>
      <c r="B330" s="256"/>
      <c r="C330" s="257"/>
      <c r="D330" s="112" t="s">
        <v>24</v>
      </c>
      <c r="E330" s="137">
        <f>E331</f>
        <v>14.26</v>
      </c>
      <c r="F330" s="90">
        <f t="shared" ref="F330:I330" si="251">F331</f>
        <v>0</v>
      </c>
      <c r="G330" s="90">
        <f t="shared" si="251"/>
        <v>10</v>
      </c>
      <c r="H330" s="90">
        <f t="shared" si="251"/>
        <v>0</v>
      </c>
      <c r="I330" s="90">
        <f t="shared" ref="I330:I332" si="252">H330/G330*100</f>
        <v>0</v>
      </c>
    </row>
    <row r="331" spans="1:9" ht="25.5" x14ac:dyDescent="0.25">
      <c r="A331" s="258">
        <v>42</v>
      </c>
      <c r="B331" s="259"/>
      <c r="C331" s="260"/>
      <c r="D331" s="116" t="s">
        <v>104</v>
      </c>
      <c r="E331" s="138">
        <f>SUM(E333:E333)</f>
        <v>14.26</v>
      </c>
      <c r="F331" s="91">
        <f t="shared" ref="F331:I331" si="253">SUM(F333:F333)</f>
        <v>0</v>
      </c>
      <c r="G331" s="91">
        <f t="shared" si="253"/>
        <v>10</v>
      </c>
      <c r="H331" s="91">
        <f t="shared" si="253"/>
        <v>0</v>
      </c>
      <c r="I331" s="91">
        <f t="shared" si="252"/>
        <v>0</v>
      </c>
    </row>
    <row r="332" spans="1:9" x14ac:dyDescent="0.25">
      <c r="A332" s="281" t="s">
        <v>406</v>
      </c>
      <c r="B332" s="282"/>
      <c r="C332" s="283"/>
      <c r="D332" s="284" t="s">
        <v>270</v>
      </c>
      <c r="E332" s="285" t="e">
        <f>SUM(E334:E420)</f>
        <v>#DIV/0!</v>
      </c>
      <c r="F332" s="285">
        <f>F333</f>
        <v>0</v>
      </c>
      <c r="G332" s="285">
        <f t="shared" ref="G332" si="254">G333</f>
        <v>10</v>
      </c>
      <c r="H332" s="285">
        <f t="shared" ref="H332" si="255">H333</f>
        <v>0</v>
      </c>
      <c r="I332" s="285">
        <f t="shared" si="252"/>
        <v>0</v>
      </c>
    </row>
    <row r="333" spans="1:9" x14ac:dyDescent="0.25">
      <c r="A333" s="249" t="s">
        <v>192</v>
      </c>
      <c r="B333" s="250"/>
      <c r="C333" s="251"/>
      <c r="D333" s="117" t="s">
        <v>108</v>
      </c>
      <c r="E333" s="139">
        <f>107.41/K1</f>
        <v>14.26</v>
      </c>
      <c r="F333" s="77"/>
      <c r="G333" s="100">
        <v>10</v>
      </c>
      <c r="H333" s="100">
        <v>0</v>
      </c>
      <c r="I333" s="108"/>
    </row>
    <row r="334" spans="1:9" ht="15" customHeight="1" x14ac:dyDescent="0.25">
      <c r="A334" s="252" t="s">
        <v>144</v>
      </c>
      <c r="B334" s="253"/>
      <c r="C334" s="254"/>
      <c r="D334" s="103" t="s">
        <v>145</v>
      </c>
      <c r="E334" s="136" t="e">
        <f>E335+E363</f>
        <v>#DIV/0!</v>
      </c>
      <c r="F334" s="89">
        <f>F335+F363</f>
        <v>4899.37</v>
      </c>
      <c r="G334" s="89">
        <f>G335+G363</f>
        <v>10760</v>
      </c>
      <c r="H334" s="89">
        <f>H335+H363</f>
        <v>4882.4399999999996</v>
      </c>
      <c r="I334" s="89">
        <f t="shared" ref="I334:I337" si="256">H334/G334*100</f>
        <v>45.38</v>
      </c>
    </row>
    <row r="335" spans="1:9" x14ac:dyDescent="0.25">
      <c r="A335" s="255">
        <v>3</v>
      </c>
      <c r="B335" s="256"/>
      <c r="C335" s="257"/>
      <c r="D335" s="112" t="s">
        <v>22</v>
      </c>
      <c r="E335" s="137" t="e">
        <f>E336+E360</f>
        <v>#DIV/0!</v>
      </c>
      <c r="F335" s="90">
        <f t="shared" ref="F335:I335" si="257">F336+F360</f>
        <v>4899.37</v>
      </c>
      <c r="G335" s="90">
        <f t="shared" si="257"/>
        <v>9310</v>
      </c>
      <c r="H335" s="90">
        <f t="shared" si="257"/>
        <v>4827.4399999999996</v>
      </c>
      <c r="I335" s="90">
        <f t="shared" si="256"/>
        <v>51.85</v>
      </c>
    </row>
    <row r="336" spans="1:9" x14ac:dyDescent="0.25">
      <c r="A336" s="258">
        <v>32</v>
      </c>
      <c r="B336" s="259"/>
      <c r="C336" s="260"/>
      <c r="D336" s="116" t="s">
        <v>36</v>
      </c>
      <c r="E336" s="138" t="e">
        <f>SUM(E338:E359)</f>
        <v>#DIV/0!</v>
      </c>
      <c r="F336" s="91">
        <f>F337+F341+F346+F355</f>
        <v>4899.37</v>
      </c>
      <c r="G336" s="91">
        <f t="shared" ref="G336:H336" si="258">G337+G341+G346+G355</f>
        <v>9300</v>
      </c>
      <c r="H336" s="91">
        <f t="shared" si="258"/>
        <v>4827.4399999999996</v>
      </c>
      <c r="I336" s="91">
        <f t="shared" si="256"/>
        <v>51.91</v>
      </c>
    </row>
    <row r="337" spans="1:9" x14ac:dyDescent="0.25">
      <c r="A337" s="281" t="s">
        <v>345</v>
      </c>
      <c r="B337" s="282"/>
      <c r="C337" s="283"/>
      <c r="D337" s="284" t="s">
        <v>448</v>
      </c>
      <c r="E337" s="285" t="e">
        <f>SUM(E339:E416)</f>
        <v>#DIV/0!</v>
      </c>
      <c r="F337" s="285">
        <f>SUM(F338:F340)</f>
        <v>1830.68</v>
      </c>
      <c r="G337" s="285">
        <f t="shared" ref="G337" si="259">SUM(G338:G340)</f>
        <v>750</v>
      </c>
      <c r="H337" s="285">
        <f t="shared" ref="H337" si="260">SUM(H338:H340)</f>
        <v>16.73</v>
      </c>
      <c r="I337" s="285">
        <f t="shared" si="256"/>
        <v>2.23</v>
      </c>
    </row>
    <row r="338" spans="1:9" x14ac:dyDescent="0.25">
      <c r="A338" s="249">
        <v>3211</v>
      </c>
      <c r="B338" s="250"/>
      <c r="C338" s="251"/>
      <c r="D338" s="114" t="s">
        <v>58</v>
      </c>
      <c r="E338" s="139">
        <f>4116.28/K1</f>
        <v>546.32000000000005</v>
      </c>
      <c r="F338" s="100">
        <v>1752.68</v>
      </c>
      <c r="G338" s="100">
        <v>600</v>
      </c>
      <c r="H338" s="100">
        <v>16.73</v>
      </c>
      <c r="I338" s="100"/>
    </row>
    <row r="339" spans="1:9" x14ac:dyDescent="0.25">
      <c r="A339" s="249">
        <v>3213</v>
      </c>
      <c r="B339" s="250">
        <v>3213</v>
      </c>
      <c r="C339" s="251">
        <v>3213</v>
      </c>
      <c r="D339" s="114" t="s">
        <v>59</v>
      </c>
      <c r="E339" s="139">
        <f>449/K1</f>
        <v>59.59</v>
      </c>
      <c r="F339" s="100">
        <v>78</v>
      </c>
      <c r="G339" s="100">
        <v>100</v>
      </c>
      <c r="H339" s="100">
        <v>0</v>
      </c>
      <c r="I339" s="100"/>
    </row>
    <row r="340" spans="1:9" x14ac:dyDescent="0.25">
      <c r="A340" s="249" t="s">
        <v>204</v>
      </c>
      <c r="B340" s="250">
        <v>3213</v>
      </c>
      <c r="C340" s="251">
        <v>3213</v>
      </c>
      <c r="D340" s="114" t="s">
        <v>205</v>
      </c>
      <c r="E340" s="139">
        <v>0</v>
      </c>
      <c r="F340" s="100">
        <v>0</v>
      </c>
      <c r="G340" s="100">
        <v>50</v>
      </c>
      <c r="H340" s="100">
        <v>0</v>
      </c>
      <c r="I340" s="100"/>
    </row>
    <row r="341" spans="1:9" x14ac:dyDescent="0.25">
      <c r="A341" s="281">
        <v>322</v>
      </c>
      <c r="B341" s="282"/>
      <c r="C341" s="283"/>
      <c r="D341" s="284" t="s">
        <v>451</v>
      </c>
      <c r="E341" s="285" t="e">
        <f>SUM(E345:E384)</f>
        <v>#DIV/0!</v>
      </c>
      <c r="F341" s="285">
        <f>SUM(F342:F345)</f>
        <v>860.9</v>
      </c>
      <c r="G341" s="285">
        <f t="shared" ref="G341:H341" si="261">SUM(G342:G345)</f>
        <v>2600</v>
      </c>
      <c r="H341" s="285">
        <f t="shared" si="261"/>
        <v>113.61</v>
      </c>
      <c r="I341" s="285">
        <f t="shared" ref="I341" si="262">H341/G341*100</f>
        <v>4.37</v>
      </c>
    </row>
    <row r="342" spans="1:9" x14ac:dyDescent="0.25">
      <c r="A342" s="249">
        <v>3221</v>
      </c>
      <c r="B342" s="250">
        <v>3221</v>
      </c>
      <c r="C342" s="251">
        <v>3221</v>
      </c>
      <c r="D342" s="114" t="s">
        <v>60</v>
      </c>
      <c r="E342" s="139">
        <f>1199/K1</f>
        <v>159.13</v>
      </c>
      <c r="F342" s="100">
        <v>266.72000000000003</v>
      </c>
      <c r="G342" s="100">
        <v>1400</v>
      </c>
      <c r="H342" s="100">
        <v>113.61</v>
      </c>
      <c r="I342" s="100"/>
    </row>
    <row r="343" spans="1:9" x14ac:dyDescent="0.25">
      <c r="A343" s="249">
        <v>3223</v>
      </c>
      <c r="B343" s="250">
        <v>3223</v>
      </c>
      <c r="C343" s="251">
        <v>3223</v>
      </c>
      <c r="D343" s="114" t="s">
        <v>61</v>
      </c>
      <c r="E343" s="139">
        <v>0</v>
      </c>
      <c r="F343" s="100">
        <v>0</v>
      </c>
      <c r="G343" s="100">
        <v>100</v>
      </c>
      <c r="H343" s="100">
        <v>0</v>
      </c>
      <c r="I343" s="100"/>
    </row>
    <row r="344" spans="1:9" x14ac:dyDescent="0.25">
      <c r="A344" s="249">
        <v>3225</v>
      </c>
      <c r="B344" s="250">
        <v>3225</v>
      </c>
      <c r="C344" s="251">
        <v>3225</v>
      </c>
      <c r="D344" s="114" t="s">
        <v>62</v>
      </c>
      <c r="E344" s="139">
        <f>4494.96/K1</f>
        <v>596.58000000000004</v>
      </c>
      <c r="F344" s="100">
        <v>594.17999999999995</v>
      </c>
      <c r="G344" s="100">
        <v>1000</v>
      </c>
      <c r="H344" s="100">
        <v>0</v>
      </c>
      <c r="I344" s="100"/>
    </row>
    <row r="345" spans="1:9" x14ac:dyDescent="0.25">
      <c r="A345" s="249">
        <v>3227</v>
      </c>
      <c r="B345" s="250">
        <v>3227</v>
      </c>
      <c r="C345" s="251">
        <v>3227</v>
      </c>
      <c r="D345" s="114" t="s">
        <v>63</v>
      </c>
      <c r="E345" s="139">
        <v>0</v>
      </c>
      <c r="F345" s="100">
        <v>0</v>
      </c>
      <c r="G345" s="100">
        <v>100</v>
      </c>
      <c r="H345" s="100">
        <v>0</v>
      </c>
      <c r="I345" s="100"/>
    </row>
    <row r="346" spans="1:9" x14ac:dyDescent="0.25">
      <c r="A346" s="281" t="s">
        <v>360</v>
      </c>
      <c r="B346" s="282"/>
      <c r="C346" s="283"/>
      <c r="D346" s="284" t="s">
        <v>444</v>
      </c>
      <c r="E346" s="285" t="e">
        <f>SUM(E348:E398)</f>
        <v>#DIV/0!</v>
      </c>
      <c r="F346" s="285">
        <f>SUM(F347:F354)</f>
        <v>2207.79</v>
      </c>
      <c r="G346" s="285">
        <f t="shared" ref="G346:H346" si="263">SUM(G347:G354)</f>
        <v>3600</v>
      </c>
      <c r="H346" s="285">
        <f t="shared" si="263"/>
        <v>788.91</v>
      </c>
      <c r="I346" s="285">
        <f t="shared" ref="I346" si="264">H346/G346*100</f>
        <v>21.91</v>
      </c>
    </row>
    <row r="347" spans="1:9" x14ac:dyDescent="0.25">
      <c r="A347" s="249">
        <v>3231</v>
      </c>
      <c r="B347" s="250">
        <v>3231</v>
      </c>
      <c r="C347" s="251">
        <v>3231</v>
      </c>
      <c r="D347" s="114" t="s">
        <v>64</v>
      </c>
      <c r="E347" s="139">
        <f>7492.5/K1</f>
        <v>994.43</v>
      </c>
      <c r="F347" s="100">
        <v>388.91</v>
      </c>
      <c r="G347" s="100">
        <v>1500</v>
      </c>
      <c r="H347" s="100">
        <v>788.91</v>
      </c>
      <c r="I347" s="100"/>
    </row>
    <row r="348" spans="1:9" x14ac:dyDescent="0.25">
      <c r="A348" s="249" t="s">
        <v>187</v>
      </c>
      <c r="B348" s="250">
        <v>3233</v>
      </c>
      <c r="C348" s="251">
        <v>3233</v>
      </c>
      <c r="D348" s="114" t="s">
        <v>79</v>
      </c>
      <c r="E348" s="139">
        <f>16729.5/K1</f>
        <v>2220.39</v>
      </c>
      <c r="F348" s="100">
        <v>0</v>
      </c>
      <c r="G348" s="100">
        <v>200</v>
      </c>
      <c r="H348" s="100">
        <v>0</v>
      </c>
      <c r="I348" s="100"/>
    </row>
    <row r="349" spans="1:9" x14ac:dyDescent="0.25">
      <c r="A349" s="249">
        <v>3234</v>
      </c>
      <c r="B349" s="250">
        <v>3234</v>
      </c>
      <c r="C349" s="251">
        <v>3234</v>
      </c>
      <c r="D349" s="114" t="s">
        <v>66</v>
      </c>
      <c r="E349" s="139">
        <v>0</v>
      </c>
      <c r="F349" s="100">
        <v>0</v>
      </c>
      <c r="G349" s="100">
        <v>0</v>
      </c>
      <c r="H349" s="100">
        <v>0</v>
      </c>
      <c r="I349" s="100"/>
    </row>
    <row r="350" spans="1:9" x14ac:dyDescent="0.25">
      <c r="A350" s="249">
        <v>3235</v>
      </c>
      <c r="B350" s="250">
        <v>3235</v>
      </c>
      <c r="C350" s="251">
        <v>3235</v>
      </c>
      <c r="D350" s="114" t="s">
        <v>67</v>
      </c>
      <c r="E350" s="139">
        <v>0</v>
      </c>
      <c r="F350" s="100">
        <v>0</v>
      </c>
      <c r="G350" s="100">
        <v>200</v>
      </c>
      <c r="H350" s="100">
        <v>0</v>
      </c>
      <c r="I350" s="100"/>
    </row>
    <row r="351" spans="1:9" x14ac:dyDescent="0.25">
      <c r="A351" s="249">
        <v>3236</v>
      </c>
      <c r="B351" s="250">
        <v>3236</v>
      </c>
      <c r="C351" s="251">
        <v>3236</v>
      </c>
      <c r="D351" s="114" t="s">
        <v>68</v>
      </c>
      <c r="E351" s="139">
        <v>0</v>
      </c>
      <c r="F351" s="100">
        <v>0</v>
      </c>
      <c r="G351" s="100">
        <v>100</v>
      </c>
      <c r="H351" s="100">
        <v>0</v>
      </c>
      <c r="I351" s="100"/>
    </row>
    <row r="352" spans="1:9" x14ac:dyDescent="0.25">
      <c r="A352" s="249">
        <v>3237</v>
      </c>
      <c r="B352" s="250">
        <v>3237</v>
      </c>
      <c r="C352" s="251">
        <v>3237</v>
      </c>
      <c r="D352" s="114" t="s">
        <v>69</v>
      </c>
      <c r="E352" s="139">
        <v>0</v>
      </c>
      <c r="F352" s="100">
        <v>0</v>
      </c>
      <c r="G352" s="100">
        <v>0</v>
      </c>
      <c r="H352" s="100">
        <v>0</v>
      </c>
      <c r="I352" s="100"/>
    </row>
    <row r="353" spans="1:9" x14ac:dyDescent="0.25">
      <c r="A353" s="249">
        <v>3238</v>
      </c>
      <c r="B353" s="250">
        <v>3238</v>
      </c>
      <c r="C353" s="251">
        <v>3238</v>
      </c>
      <c r="D353" s="114" t="s">
        <v>70</v>
      </c>
      <c r="E353" s="139">
        <v>0</v>
      </c>
      <c r="F353" s="100">
        <v>0</v>
      </c>
      <c r="G353" s="100">
        <v>100</v>
      </c>
      <c r="H353" s="100">
        <v>0</v>
      </c>
      <c r="I353" s="100"/>
    </row>
    <row r="354" spans="1:9" x14ac:dyDescent="0.25">
      <c r="A354" s="249">
        <v>3239</v>
      </c>
      <c r="B354" s="250">
        <v>3239</v>
      </c>
      <c r="C354" s="251">
        <v>3239</v>
      </c>
      <c r="D354" s="114" t="s">
        <v>71</v>
      </c>
      <c r="E354" s="139">
        <v>0</v>
      </c>
      <c r="F354" s="100">
        <v>1818.88</v>
      </c>
      <c r="G354" s="100">
        <v>1500</v>
      </c>
      <c r="H354" s="100">
        <v>0</v>
      </c>
      <c r="I354" s="100"/>
    </row>
    <row r="355" spans="1:9" x14ac:dyDescent="0.25">
      <c r="A355" s="281" t="s">
        <v>376</v>
      </c>
      <c r="B355" s="282"/>
      <c r="C355" s="283"/>
      <c r="D355" s="284" t="s">
        <v>101</v>
      </c>
      <c r="E355" s="285" t="e">
        <f>SUM(E357:E414)</f>
        <v>#DIV/0!</v>
      </c>
      <c r="F355" s="285">
        <f>SUM(F356:F359)</f>
        <v>0</v>
      </c>
      <c r="G355" s="285">
        <f t="shared" ref="G355:H355" si="265">SUM(G356:G359)</f>
        <v>2350</v>
      </c>
      <c r="H355" s="285">
        <f t="shared" si="265"/>
        <v>3908.19</v>
      </c>
      <c r="I355" s="285">
        <f t="shared" ref="I355" si="266">H355/G355*100</f>
        <v>166.31</v>
      </c>
    </row>
    <row r="356" spans="1:9" x14ac:dyDescent="0.25">
      <c r="A356" s="249">
        <v>3293</v>
      </c>
      <c r="B356" s="250">
        <v>3293</v>
      </c>
      <c r="C356" s="251">
        <v>3293</v>
      </c>
      <c r="D356" s="114" t="s">
        <v>72</v>
      </c>
      <c r="E356" s="139">
        <f>292.5/K1</f>
        <v>38.82</v>
      </c>
      <c r="F356" s="100">
        <v>0</v>
      </c>
      <c r="G356" s="100">
        <v>150</v>
      </c>
      <c r="H356" s="100">
        <v>0</v>
      </c>
      <c r="I356" s="100"/>
    </row>
    <row r="357" spans="1:9" x14ac:dyDescent="0.25">
      <c r="A357" s="249">
        <v>3294</v>
      </c>
      <c r="B357" s="250">
        <v>3294</v>
      </c>
      <c r="C357" s="251">
        <v>3294</v>
      </c>
      <c r="D357" s="114" t="s">
        <v>73</v>
      </c>
      <c r="E357" s="139">
        <v>0</v>
      </c>
      <c r="F357" s="100">
        <v>0</v>
      </c>
      <c r="G357" s="100">
        <v>0</v>
      </c>
      <c r="H357" s="100">
        <v>0</v>
      </c>
      <c r="I357" s="100"/>
    </row>
    <row r="358" spans="1:9" x14ac:dyDescent="0.25">
      <c r="A358" s="249">
        <v>3295</v>
      </c>
      <c r="B358" s="250">
        <v>3295</v>
      </c>
      <c r="C358" s="251">
        <v>3295</v>
      </c>
      <c r="D358" s="114" t="s">
        <v>74</v>
      </c>
      <c r="E358" s="139">
        <v>0</v>
      </c>
      <c r="F358" s="100">
        <v>0</v>
      </c>
      <c r="G358" s="100">
        <v>0</v>
      </c>
      <c r="H358" s="100">
        <v>0</v>
      </c>
      <c r="I358" s="100"/>
    </row>
    <row r="359" spans="1:9" x14ac:dyDescent="0.25">
      <c r="A359" s="249">
        <v>3299</v>
      </c>
      <c r="B359" s="250">
        <v>3299</v>
      </c>
      <c r="C359" s="251">
        <v>3299</v>
      </c>
      <c r="D359" s="114" t="s">
        <v>75</v>
      </c>
      <c r="E359" s="139">
        <f>676.72/K1</f>
        <v>89.82</v>
      </c>
      <c r="F359" s="100">
        <v>0</v>
      </c>
      <c r="G359" s="100">
        <f>1700+500</f>
        <v>2200</v>
      </c>
      <c r="H359" s="100">
        <v>3908.19</v>
      </c>
      <c r="I359" s="100"/>
    </row>
    <row r="360" spans="1:9" x14ac:dyDescent="0.25">
      <c r="A360" s="258">
        <v>34</v>
      </c>
      <c r="B360" s="259"/>
      <c r="C360" s="260"/>
      <c r="D360" s="116" t="s">
        <v>98</v>
      </c>
      <c r="E360" s="138">
        <f>E362</f>
        <v>0</v>
      </c>
      <c r="F360" s="91">
        <f t="shared" ref="F360:I360" si="267">F362</f>
        <v>0</v>
      </c>
      <c r="G360" s="91">
        <f t="shared" si="267"/>
        <v>10</v>
      </c>
      <c r="H360" s="91">
        <f t="shared" si="267"/>
        <v>0</v>
      </c>
      <c r="I360" s="91">
        <f t="shared" ref="I360:I361" si="268">H360/G360*100</f>
        <v>0</v>
      </c>
    </row>
    <row r="361" spans="1:9" x14ac:dyDescent="0.25">
      <c r="A361" s="281" t="s">
        <v>385</v>
      </c>
      <c r="B361" s="282"/>
      <c r="C361" s="283"/>
      <c r="D361" s="284" t="s">
        <v>98</v>
      </c>
      <c r="E361" s="285" t="e">
        <f>SUM(E363:E402)</f>
        <v>#DIV/0!</v>
      </c>
      <c r="F361" s="285">
        <f>SUM(F362)</f>
        <v>0</v>
      </c>
      <c r="G361" s="285">
        <f t="shared" ref="G361:H361" si="269">SUM(G362)</f>
        <v>10</v>
      </c>
      <c r="H361" s="285">
        <f t="shared" si="269"/>
        <v>0</v>
      </c>
      <c r="I361" s="285">
        <f t="shared" si="268"/>
        <v>0</v>
      </c>
    </row>
    <row r="362" spans="1:9" x14ac:dyDescent="0.25">
      <c r="A362" s="249" t="s">
        <v>188</v>
      </c>
      <c r="B362" s="250">
        <v>3299</v>
      </c>
      <c r="C362" s="251">
        <v>3299</v>
      </c>
      <c r="D362" s="117" t="s">
        <v>100</v>
      </c>
      <c r="E362" s="139">
        <v>0</v>
      </c>
      <c r="F362" s="77"/>
      <c r="G362" s="100">
        <v>10</v>
      </c>
      <c r="H362" s="100">
        <v>0</v>
      </c>
      <c r="I362" s="100"/>
    </row>
    <row r="363" spans="1:9" ht="25.5" x14ac:dyDescent="0.25">
      <c r="A363" s="255">
        <v>4</v>
      </c>
      <c r="B363" s="256"/>
      <c r="C363" s="257"/>
      <c r="D363" s="112" t="s">
        <v>24</v>
      </c>
      <c r="E363" s="137" t="e">
        <f>E364</f>
        <v>#DIV/0!</v>
      </c>
      <c r="F363" s="90">
        <f t="shared" ref="F363:I363" si="270">F364</f>
        <v>0</v>
      </c>
      <c r="G363" s="90">
        <f t="shared" si="270"/>
        <v>1450</v>
      </c>
      <c r="H363" s="90">
        <f t="shared" si="270"/>
        <v>55</v>
      </c>
      <c r="I363" s="90">
        <f t="shared" ref="I363:I365" si="271">H363/G363*100</f>
        <v>3.79</v>
      </c>
    </row>
    <row r="364" spans="1:9" ht="25.5" x14ac:dyDescent="0.25">
      <c r="A364" s="258">
        <v>42</v>
      </c>
      <c r="B364" s="259"/>
      <c r="C364" s="260"/>
      <c r="D364" s="116" t="s">
        <v>104</v>
      </c>
      <c r="E364" s="138" t="e">
        <f>SUM(E366:E369)</f>
        <v>#DIV/0!</v>
      </c>
      <c r="F364" s="91">
        <f>F365+F368</f>
        <v>0</v>
      </c>
      <c r="G364" s="91">
        <f t="shared" ref="G364:H364" si="272">G365+G368</f>
        <v>1450</v>
      </c>
      <c r="H364" s="91">
        <f t="shared" si="272"/>
        <v>55</v>
      </c>
      <c r="I364" s="91">
        <f t="shared" si="271"/>
        <v>3.79</v>
      </c>
    </row>
    <row r="365" spans="1:9" x14ac:dyDescent="0.25">
      <c r="A365" s="281" t="s">
        <v>401</v>
      </c>
      <c r="B365" s="282"/>
      <c r="C365" s="283"/>
      <c r="D365" s="284" t="s">
        <v>449</v>
      </c>
      <c r="E365" s="285" t="e">
        <f>SUM(E367:E456)</f>
        <v>#DIV/0!</v>
      </c>
      <c r="F365" s="285">
        <f>SUM(F366:F367)</f>
        <v>0</v>
      </c>
      <c r="G365" s="285">
        <f t="shared" ref="G365:H365" si="273">SUM(G366:G367)</f>
        <v>500</v>
      </c>
      <c r="H365" s="285">
        <f t="shared" si="273"/>
        <v>0</v>
      </c>
      <c r="I365" s="285">
        <f t="shared" si="271"/>
        <v>0</v>
      </c>
    </row>
    <row r="366" spans="1:9" x14ac:dyDescent="0.25">
      <c r="A366" s="249" t="s">
        <v>189</v>
      </c>
      <c r="B366" s="250"/>
      <c r="C366" s="251"/>
      <c r="D366" s="117" t="s">
        <v>105</v>
      </c>
      <c r="E366" s="139">
        <f>10196/K1</f>
        <v>1353.24</v>
      </c>
      <c r="F366" s="100">
        <v>0</v>
      </c>
      <c r="G366" s="100">
        <v>300</v>
      </c>
      <c r="H366" s="100">
        <v>0</v>
      </c>
      <c r="I366" s="100"/>
    </row>
    <row r="367" spans="1:9" ht="26.25" x14ac:dyDescent="0.25">
      <c r="A367" s="249" t="s">
        <v>191</v>
      </c>
      <c r="B367" s="250"/>
      <c r="C367" s="251"/>
      <c r="D367" s="117" t="s">
        <v>113</v>
      </c>
      <c r="E367" s="139">
        <f>1518.1/K1</f>
        <v>201.49</v>
      </c>
      <c r="F367" s="100"/>
      <c r="G367" s="100">
        <v>200</v>
      </c>
      <c r="H367" s="100">
        <v>0</v>
      </c>
      <c r="I367" s="100"/>
    </row>
    <row r="368" spans="1:9" x14ac:dyDescent="0.25">
      <c r="A368" s="281" t="s">
        <v>406</v>
      </c>
      <c r="B368" s="282"/>
      <c r="C368" s="283"/>
      <c r="D368" s="284" t="s">
        <v>270</v>
      </c>
      <c r="E368" s="285" t="e">
        <f>SUM(E370:E462)</f>
        <v>#DIV/0!</v>
      </c>
      <c r="F368" s="285">
        <f>F369</f>
        <v>0</v>
      </c>
      <c r="G368" s="285">
        <f t="shared" ref="G368" si="274">G369</f>
        <v>950</v>
      </c>
      <c r="H368" s="285">
        <f t="shared" ref="H368" si="275">H369</f>
        <v>55</v>
      </c>
      <c r="I368" s="285">
        <f t="shared" ref="I368" si="276">H368/G368*100</f>
        <v>5.79</v>
      </c>
    </row>
    <row r="369" spans="1:9" x14ac:dyDescent="0.25">
      <c r="A369" s="249" t="s">
        <v>192</v>
      </c>
      <c r="B369" s="250"/>
      <c r="C369" s="251"/>
      <c r="D369" s="117" t="s">
        <v>108</v>
      </c>
      <c r="E369" s="139">
        <f>6696.02/K1</f>
        <v>888.71</v>
      </c>
      <c r="F369" s="100">
        <v>0</v>
      </c>
      <c r="G369" s="100">
        <v>950</v>
      </c>
      <c r="H369" s="100">
        <v>55</v>
      </c>
      <c r="I369" s="100"/>
    </row>
    <row r="370" spans="1:9" ht="15" customHeight="1" x14ac:dyDescent="0.25">
      <c r="A370" s="252" t="s">
        <v>226</v>
      </c>
      <c r="B370" s="253"/>
      <c r="C370" s="254"/>
      <c r="D370" s="103" t="s">
        <v>146</v>
      </c>
      <c r="E370" s="136">
        <f>E371</f>
        <v>530.89</v>
      </c>
      <c r="F370" s="89">
        <f>F371+F377</f>
        <v>0</v>
      </c>
      <c r="G370" s="89">
        <f>G371+G377</f>
        <v>5800</v>
      </c>
      <c r="H370" s="89">
        <f>H371+H377</f>
        <v>5834.56</v>
      </c>
      <c r="I370" s="89">
        <f t="shared" ref="I370:I373" si="277">H370/G370*100</f>
        <v>100.6</v>
      </c>
    </row>
    <row r="371" spans="1:9" x14ac:dyDescent="0.25">
      <c r="A371" s="255">
        <v>3</v>
      </c>
      <c r="B371" s="256"/>
      <c r="C371" s="257"/>
      <c r="D371" s="112" t="s">
        <v>22</v>
      </c>
      <c r="E371" s="137">
        <f>E372</f>
        <v>530.89</v>
      </c>
      <c r="F371" s="90">
        <f t="shared" ref="F371:I371" si="278">F372</f>
        <v>0</v>
      </c>
      <c r="G371" s="90">
        <f t="shared" si="278"/>
        <v>800</v>
      </c>
      <c r="H371" s="90">
        <f t="shared" si="278"/>
        <v>1132</v>
      </c>
      <c r="I371" s="90">
        <f t="shared" si="277"/>
        <v>141.5</v>
      </c>
    </row>
    <row r="372" spans="1:9" x14ac:dyDescent="0.25">
      <c r="A372" s="258">
        <v>32</v>
      </c>
      <c r="B372" s="259"/>
      <c r="C372" s="260"/>
      <c r="D372" s="116" t="s">
        <v>36</v>
      </c>
      <c r="E372" s="138">
        <f>E376</f>
        <v>530.89</v>
      </c>
      <c r="F372" s="153">
        <f t="shared" ref="F372:G372" si="279">F376+F374</f>
        <v>0</v>
      </c>
      <c r="G372" s="153">
        <f t="shared" si="279"/>
        <v>800</v>
      </c>
      <c r="H372" s="153">
        <f>H376+H374</f>
        <v>1132</v>
      </c>
      <c r="I372" s="153">
        <f t="shared" si="277"/>
        <v>141.5</v>
      </c>
    </row>
    <row r="373" spans="1:9" x14ac:dyDescent="0.25">
      <c r="A373" s="281">
        <v>322</v>
      </c>
      <c r="B373" s="282"/>
      <c r="C373" s="283"/>
      <c r="D373" s="284" t="s">
        <v>451</v>
      </c>
      <c r="E373" s="285" t="e">
        <f>SUM(E378:E427)</f>
        <v>#DIV/0!</v>
      </c>
      <c r="F373" s="285">
        <f>SUM(F374)</f>
        <v>0</v>
      </c>
      <c r="G373" s="285">
        <f t="shared" ref="G373:H373" si="280">SUM(G374)</f>
        <v>200</v>
      </c>
      <c r="H373" s="285">
        <f t="shared" si="280"/>
        <v>22</v>
      </c>
      <c r="I373" s="285">
        <f t="shared" si="277"/>
        <v>11</v>
      </c>
    </row>
    <row r="374" spans="1:9" x14ac:dyDescent="0.25">
      <c r="A374" s="249" t="s">
        <v>201</v>
      </c>
      <c r="B374" s="250">
        <v>3299</v>
      </c>
      <c r="C374" s="251">
        <v>3299</v>
      </c>
      <c r="D374" s="114" t="s">
        <v>62</v>
      </c>
      <c r="E374" s="139" t="e">
        <f>4000/#REF!</f>
        <v>#REF!</v>
      </c>
      <c r="F374" s="100"/>
      <c r="G374" s="100">
        <v>200</v>
      </c>
      <c r="H374" s="100">
        <v>22</v>
      </c>
      <c r="I374" s="100"/>
    </row>
    <row r="375" spans="1:9" x14ac:dyDescent="0.25">
      <c r="A375" s="281" t="s">
        <v>376</v>
      </c>
      <c r="B375" s="282"/>
      <c r="C375" s="283"/>
      <c r="D375" s="284" t="s">
        <v>101</v>
      </c>
      <c r="E375" s="285" t="e">
        <f>SUM(E377:E438)</f>
        <v>#DIV/0!</v>
      </c>
      <c r="F375" s="285">
        <f>SUM(F376)</f>
        <v>0</v>
      </c>
      <c r="G375" s="285">
        <f t="shared" ref="G375:H375" si="281">SUM(G376)</f>
        <v>600</v>
      </c>
      <c r="H375" s="285">
        <f t="shared" si="281"/>
        <v>1110</v>
      </c>
      <c r="I375" s="285">
        <f t="shared" ref="I375" si="282">H375/G375*100</f>
        <v>185</v>
      </c>
    </row>
    <row r="376" spans="1:9" x14ac:dyDescent="0.25">
      <c r="A376" s="249">
        <v>3299</v>
      </c>
      <c r="B376" s="250">
        <v>3299</v>
      </c>
      <c r="C376" s="251">
        <v>3299</v>
      </c>
      <c r="D376" s="114" t="s">
        <v>75</v>
      </c>
      <c r="E376" s="139">
        <f>4000/K1</f>
        <v>530.89</v>
      </c>
      <c r="F376" s="100">
        <v>0</v>
      </c>
      <c r="G376" s="100">
        <v>600</v>
      </c>
      <c r="H376" s="100">
        <v>1110</v>
      </c>
      <c r="I376" s="100"/>
    </row>
    <row r="377" spans="1:9" ht="25.5" x14ac:dyDescent="0.25">
      <c r="A377" s="255">
        <v>4</v>
      </c>
      <c r="B377" s="256"/>
      <c r="C377" s="257"/>
      <c r="D377" s="126" t="s">
        <v>24</v>
      </c>
      <c r="E377" s="137" t="e">
        <f>E378</f>
        <v>#DIV/0!</v>
      </c>
      <c r="F377" s="90">
        <f t="shared" ref="F377:I377" si="283">F378</f>
        <v>0</v>
      </c>
      <c r="G377" s="90">
        <f t="shared" si="283"/>
        <v>5000</v>
      </c>
      <c r="H377" s="90">
        <f t="shared" si="283"/>
        <v>4702.5600000000004</v>
      </c>
      <c r="I377" s="90">
        <f t="shared" ref="I377:I379" si="284">H377/G377*100</f>
        <v>94.05</v>
      </c>
    </row>
    <row r="378" spans="1:9" ht="25.5" x14ac:dyDescent="0.25">
      <c r="A378" s="258">
        <v>42</v>
      </c>
      <c r="B378" s="259"/>
      <c r="C378" s="260"/>
      <c r="D378" s="116" t="s">
        <v>104</v>
      </c>
      <c r="E378" s="138" t="e">
        <f>SUM(E380:E382)</f>
        <v>#DIV/0!</v>
      </c>
      <c r="F378" s="91">
        <f>F380</f>
        <v>0</v>
      </c>
      <c r="G378" s="91">
        <f>G380</f>
        <v>5000</v>
      </c>
      <c r="H378" s="91">
        <f>H380</f>
        <v>4702.5600000000004</v>
      </c>
      <c r="I378" s="91">
        <f t="shared" si="284"/>
        <v>94.05</v>
      </c>
    </row>
    <row r="379" spans="1:9" x14ac:dyDescent="0.25">
      <c r="A379" s="281" t="s">
        <v>401</v>
      </c>
      <c r="B379" s="282"/>
      <c r="C379" s="283"/>
      <c r="D379" s="284" t="s">
        <v>449</v>
      </c>
      <c r="E379" s="285" t="e">
        <f>SUM(E381:E473)</f>
        <v>#DIV/0!</v>
      </c>
      <c r="F379" s="285">
        <f>SUM(F380)</f>
        <v>0</v>
      </c>
      <c r="G379" s="285">
        <f t="shared" ref="G379:H379" si="285">SUM(G380)</f>
        <v>5000</v>
      </c>
      <c r="H379" s="285">
        <f t="shared" si="285"/>
        <v>4702.5600000000004</v>
      </c>
      <c r="I379" s="285">
        <f t="shared" si="284"/>
        <v>94.05</v>
      </c>
    </row>
    <row r="380" spans="1:9" x14ac:dyDescent="0.25">
      <c r="A380" s="249" t="s">
        <v>189</v>
      </c>
      <c r="B380" s="250"/>
      <c r="C380" s="251"/>
      <c r="D380" s="117" t="s">
        <v>105</v>
      </c>
      <c r="E380" s="139" t="e">
        <f>10196/K12</f>
        <v>#DIV/0!</v>
      </c>
      <c r="F380" s="100"/>
      <c r="G380" s="100">
        <v>5000</v>
      </c>
      <c r="H380" s="100">
        <v>4702.5600000000004</v>
      </c>
      <c r="I380" s="100"/>
    </row>
    <row r="381" spans="1:9" ht="27.75" customHeight="1" x14ac:dyDescent="0.25">
      <c r="A381" s="261" t="s">
        <v>77</v>
      </c>
      <c r="B381" s="262"/>
      <c r="C381" s="263"/>
      <c r="D381" s="111" t="s">
        <v>147</v>
      </c>
      <c r="E381" s="135" t="e">
        <f>E382</f>
        <v>#DIV/0!</v>
      </c>
      <c r="F381" s="88">
        <f t="shared" ref="F381:I381" si="286">F382</f>
        <v>568545.61</v>
      </c>
      <c r="G381" s="88">
        <f t="shared" si="286"/>
        <v>1603304</v>
      </c>
      <c r="H381" s="88">
        <f t="shared" si="286"/>
        <v>738385.76</v>
      </c>
      <c r="I381" s="88">
        <f t="shared" ref="I381:I385" si="287">H381/G381*100</f>
        <v>46.05</v>
      </c>
    </row>
    <row r="382" spans="1:9" ht="15" customHeight="1" x14ac:dyDescent="0.25">
      <c r="A382" s="252" t="s">
        <v>144</v>
      </c>
      <c r="B382" s="253"/>
      <c r="C382" s="254"/>
      <c r="D382" s="103" t="s">
        <v>145</v>
      </c>
      <c r="E382" s="136" t="e">
        <f>E383</f>
        <v>#DIV/0!</v>
      </c>
      <c r="F382" s="89">
        <f t="shared" ref="F382:I382" si="288">F383</f>
        <v>568545.61</v>
      </c>
      <c r="G382" s="89">
        <f t="shared" si="288"/>
        <v>1603304</v>
      </c>
      <c r="H382" s="89">
        <f t="shared" si="288"/>
        <v>738385.76</v>
      </c>
      <c r="I382" s="89">
        <f t="shared" si="287"/>
        <v>46.05</v>
      </c>
    </row>
    <row r="383" spans="1:9" x14ac:dyDescent="0.25">
      <c r="A383" s="255">
        <v>3</v>
      </c>
      <c r="B383" s="256"/>
      <c r="C383" s="257"/>
      <c r="D383" s="112" t="s">
        <v>22</v>
      </c>
      <c r="E383" s="137" t="e">
        <f>E384+E392+E400</f>
        <v>#DIV/0!</v>
      </c>
      <c r="F383" s="90">
        <f>F384+F392+F400</f>
        <v>568545.61</v>
      </c>
      <c r="G383" s="90">
        <f>G384+G392+G400</f>
        <v>1603304</v>
      </c>
      <c r="H383" s="90">
        <f>H384+H392+H400</f>
        <v>738385.76</v>
      </c>
      <c r="I383" s="90">
        <f t="shared" si="287"/>
        <v>46.05</v>
      </c>
    </row>
    <row r="384" spans="1:9" x14ac:dyDescent="0.25">
      <c r="A384" s="258">
        <v>31</v>
      </c>
      <c r="B384" s="259"/>
      <c r="C384" s="260"/>
      <c r="D384" s="116" t="s">
        <v>23</v>
      </c>
      <c r="E384" s="138" t="e">
        <f>SUM(E386:E391)</f>
        <v>#DIV/0!</v>
      </c>
      <c r="F384" s="91">
        <f>F385+F387+F389</f>
        <v>546185.29</v>
      </c>
      <c r="G384" s="91">
        <f t="shared" ref="G384:H384" si="289">G385+G387+G389</f>
        <v>1566762</v>
      </c>
      <c r="H384" s="91">
        <f t="shared" si="289"/>
        <v>716357.92</v>
      </c>
      <c r="I384" s="91">
        <f t="shared" si="287"/>
        <v>45.72</v>
      </c>
    </row>
    <row r="385" spans="1:9" x14ac:dyDescent="0.25">
      <c r="A385" s="281" t="s">
        <v>334</v>
      </c>
      <c r="B385" s="282"/>
      <c r="C385" s="283"/>
      <c r="D385" s="284" t="s">
        <v>446</v>
      </c>
      <c r="E385" s="285" t="e">
        <f>SUM(E406:E451)</f>
        <v>#DIV/0!</v>
      </c>
      <c r="F385" s="285">
        <f>F386</f>
        <v>452651.68</v>
      </c>
      <c r="G385" s="285">
        <f t="shared" ref="G385" si="290">G386</f>
        <v>1301952</v>
      </c>
      <c r="H385" s="285">
        <f t="shared" ref="H385" si="291">H386</f>
        <v>595631.49</v>
      </c>
      <c r="I385" s="285">
        <f t="shared" si="287"/>
        <v>45.75</v>
      </c>
    </row>
    <row r="386" spans="1:9" x14ac:dyDescent="0.25">
      <c r="A386" s="249" t="s">
        <v>181</v>
      </c>
      <c r="B386" s="250"/>
      <c r="C386" s="251"/>
      <c r="D386" s="117" t="s">
        <v>86</v>
      </c>
      <c r="E386" s="139">
        <f>6412777.49/K1</f>
        <v>851121.84</v>
      </c>
      <c r="F386" s="100">
        <v>452651.68</v>
      </c>
      <c r="G386" s="100">
        <v>1301952</v>
      </c>
      <c r="H386" s="100">
        <v>595631.49</v>
      </c>
      <c r="I386" s="100"/>
    </row>
    <row r="387" spans="1:9" x14ac:dyDescent="0.25">
      <c r="A387" s="281" t="s">
        <v>337</v>
      </c>
      <c r="B387" s="282"/>
      <c r="C387" s="283"/>
      <c r="D387" s="284" t="s">
        <v>87</v>
      </c>
      <c r="E387" s="285" t="e">
        <f>SUM(E405:E452)</f>
        <v>#DIV/0!</v>
      </c>
      <c r="F387" s="285">
        <f>F388</f>
        <v>18593.599999999999</v>
      </c>
      <c r="G387" s="285">
        <f t="shared" ref="G387" si="292">G388</f>
        <v>50000</v>
      </c>
      <c r="H387" s="285">
        <f t="shared" ref="H387" si="293">H388</f>
        <v>22439.599999999999</v>
      </c>
      <c r="I387" s="285">
        <f t="shared" ref="I387" si="294">H387/G387*100</f>
        <v>44.88</v>
      </c>
    </row>
    <row r="388" spans="1:9" x14ac:dyDescent="0.25">
      <c r="A388" s="249" t="s">
        <v>182</v>
      </c>
      <c r="B388" s="250"/>
      <c r="C388" s="251"/>
      <c r="D388" s="117" t="s">
        <v>87</v>
      </c>
      <c r="E388" s="139">
        <f>296018.66/K1</f>
        <v>39288.43</v>
      </c>
      <c r="F388" s="100">
        <v>18593.599999999999</v>
      </c>
      <c r="G388" s="100">
        <v>50000</v>
      </c>
      <c r="H388" s="100">
        <v>22439.599999999999</v>
      </c>
      <c r="I388" s="100"/>
    </row>
    <row r="389" spans="1:9" x14ac:dyDescent="0.25">
      <c r="A389" s="281" t="s">
        <v>339</v>
      </c>
      <c r="B389" s="282"/>
      <c r="C389" s="283"/>
      <c r="D389" s="284" t="s">
        <v>447</v>
      </c>
      <c r="E389" s="285" t="e">
        <f>SUM(E402:E453)</f>
        <v>#DIV/0!</v>
      </c>
      <c r="F389" s="285">
        <f>F390+F391</f>
        <v>74940.009999999995</v>
      </c>
      <c r="G389" s="285">
        <f t="shared" ref="G389:H389" si="295">G390+G391</f>
        <v>214810</v>
      </c>
      <c r="H389" s="285">
        <f t="shared" si="295"/>
        <v>98286.83</v>
      </c>
      <c r="I389" s="285">
        <f t="shared" ref="I389" si="296">H389/G389*100</f>
        <v>45.76</v>
      </c>
    </row>
    <row r="390" spans="1:9" x14ac:dyDescent="0.25">
      <c r="A390" s="249" t="s">
        <v>183</v>
      </c>
      <c r="B390" s="250"/>
      <c r="C390" s="251"/>
      <c r="D390" s="117" t="s">
        <v>88</v>
      </c>
      <c r="E390" s="139">
        <f>1064366.94/K1</f>
        <v>141265.76999999999</v>
      </c>
      <c r="F390" s="100">
        <v>74925.279999999999</v>
      </c>
      <c r="G390" s="100">
        <v>214800</v>
      </c>
      <c r="H390" s="100">
        <v>98286.83</v>
      </c>
      <c r="I390" s="100"/>
    </row>
    <row r="391" spans="1:9" ht="26.25" x14ac:dyDescent="0.25">
      <c r="A391" s="249" t="s">
        <v>196</v>
      </c>
      <c r="B391" s="250"/>
      <c r="C391" s="251"/>
      <c r="D391" s="117" t="s">
        <v>109</v>
      </c>
      <c r="E391" s="139">
        <f>1228.92/K1</f>
        <v>163.11000000000001</v>
      </c>
      <c r="F391" s="100">
        <v>14.73</v>
      </c>
      <c r="G391" s="100">
        <v>10</v>
      </c>
      <c r="H391" s="100">
        <v>0</v>
      </c>
      <c r="I391" s="100"/>
    </row>
    <row r="392" spans="1:9" x14ac:dyDescent="0.25">
      <c r="A392" s="258">
        <v>32</v>
      </c>
      <c r="B392" s="259"/>
      <c r="C392" s="260"/>
      <c r="D392" s="116" t="s">
        <v>36</v>
      </c>
      <c r="E392" s="138" t="e">
        <f>SUM(E394:E399)</f>
        <v>#DIV/0!</v>
      </c>
      <c r="F392" s="91">
        <f>F393+F395+F397</f>
        <v>22003.48</v>
      </c>
      <c r="G392" s="91">
        <f t="shared" ref="G392:H392" si="297">G393+G395+G397</f>
        <v>36532</v>
      </c>
      <c r="H392" s="91">
        <f t="shared" si="297"/>
        <v>22027.84</v>
      </c>
      <c r="I392" s="91">
        <f t="shared" ref="I392:I393" si="298">H392/G392*100</f>
        <v>60.3</v>
      </c>
    </row>
    <row r="393" spans="1:9" x14ac:dyDescent="0.25">
      <c r="A393" s="281" t="s">
        <v>345</v>
      </c>
      <c r="B393" s="282"/>
      <c r="C393" s="283"/>
      <c r="D393" s="284" t="s">
        <v>448</v>
      </c>
      <c r="E393" s="285" t="e">
        <f>SUM(E396:E482)</f>
        <v>#DIV/0!</v>
      </c>
      <c r="F393" s="285">
        <f>SUM(F394)</f>
        <v>19644.55</v>
      </c>
      <c r="G393" s="285">
        <f t="shared" ref="G393:H393" si="299">SUM(G394)</f>
        <v>32400</v>
      </c>
      <c r="H393" s="285">
        <f t="shared" si="299"/>
        <v>20067.84</v>
      </c>
      <c r="I393" s="285">
        <f t="shared" si="298"/>
        <v>61.94</v>
      </c>
    </row>
    <row r="394" spans="1:9" x14ac:dyDescent="0.25">
      <c r="A394" s="249" t="s">
        <v>185</v>
      </c>
      <c r="B394" s="250"/>
      <c r="C394" s="251"/>
      <c r="D394" s="117" t="s">
        <v>89</v>
      </c>
      <c r="E394" s="139">
        <f>242495.4/K1</f>
        <v>32184.67</v>
      </c>
      <c r="F394" s="100">
        <v>19644.55</v>
      </c>
      <c r="G394" s="100">
        <v>32400</v>
      </c>
      <c r="H394" s="100">
        <v>20067.84</v>
      </c>
      <c r="I394" s="100"/>
    </row>
    <row r="395" spans="1:9" x14ac:dyDescent="0.25">
      <c r="A395" s="281" t="s">
        <v>360</v>
      </c>
      <c r="B395" s="282"/>
      <c r="C395" s="283"/>
      <c r="D395" s="284" t="s">
        <v>444</v>
      </c>
      <c r="E395" s="285" t="e">
        <f>SUM(E398:E457)</f>
        <v>#DIV/0!</v>
      </c>
      <c r="F395" s="285">
        <f>SUM(F396)</f>
        <v>0</v>
      </c>
      <c r="G395" s="285">
        <f t="shared" ref="G395:H395" si="300">SUM(G396)</f>
        <v>50</v>
      </c>
      <c r="H395" s="285">
        <f t="shared" si="300"/>
        <v>0</v>
      </c>
      <c r="I395" s="285">
        <f t="shared" ref="I395" si="301">H395/G395*100</f>
        <v>0</v>
      </c>
    </row>
    <row r="396" spans="1:9" x14ac:dyDescent="0.25">
      <c r="A396" s="249" t="s">
        <v>195</v>
      </c>
      <c r="B396" s="250"/>
      <c r="C396" s="251"/>
      <c r="D396" s="122" t="s">
        <v>194</v>
      </c>
      <c r="E396" s="139">
        <f>4050/K1</f>
        <v>537.53</v>
      </c>
      <c r="F396" s="100">
        <v>0</v>
      </c>
      <c r="G396" s="100">
        <v>50</v>
      </c>
      <c r="H396" s="100">
        <v>0</v>
      </c>
      <c r="I396" s="100"/>
    </row>
    <row r="397" spans="1:9" x14ac:dyDescent="0.25">
      <c r="A397" s="281" t="s">
        <v>376</v>
      </c>
      <c r="B397" s="282"/>
      <c r="C397" s="283"/>
      <c r="D397" s="284" t="s">
        <v>101</v>
      </c>
      <c r="E397" s="285" t="e">
        <f>SUM(E399:E464)</f>
        <v>#DIV/0!</v>
      </c>
      <c r="F397" s="285">
        <f>SUM(F398:F399)</f>
        <v>2358.9299999999998</v>
      </c>
      <c r="G397" s="285">
        <f t="shared" ref="G397:H397" si="302">SUM(G398:G399)</f>
        <v>4082</v>
      </c>
      <c r="H397" s="285">
        <f t="shared" si="302"/>
        <v>1960</v>
      </c>
      <c r="I397" s="285">
        <f t="shared" ref="I397" si="303">H397/G397*100</f>
        <v>48.02</v>
      </c>
    </row>
    <row r="398" spans="1:9" x14ac:dyDescent="0.25">
      <c r="A398" s="249" t="s">
        <v>197</v>
      </c>
      <c r="B398" s="250"/>
      <c r="C398" s="251"/>
      <c r="D398" s="117" t="s">
        <v>110</v>
      </c>
      <c r="E398" s="139">
        <f>20450/K1</f>
        <v>2714.18</v>
      </c>
      <c r="F398" s="100">
        <v>1897.71</v>
      </c>
      <c r="G398" s="100">
        <v>4032</v>
      </c>
      <c r="H398" s="100">
        <v>1960</v>
      </c>
      <c r="I398" s="100"/>
    </row>
    <row r="399" spans="1:9" x14ac:dyDescent="0.25">
      <c r="A399" s="119" t="s">
        <v>198</v>
      </c>
      <c r="B399" s="120"/>
      <c r="C399" s="121"/>
      <c r="D399" s="117" t="s">
        <v>111</v>
      </c>
      <c r="E399" s="139">
        <f>37163.22/K1</f>
        <v>4932.41</v>
      </c>
      <c r="F399" s="100">
        <v>461.22</v>
      </c>
      <c r="G399" s="100">
        <v>50</v>
      </c>
      <c r="H399" s="100">
        <v>0</v>
      </c>
      <c r="I399" s="100"/>
    </row>
    <row r="400" spans="1:9" x14ac:dyDescent="0.25">
      <c r="A400" s="258">
        <v>34</v>
      </c>
      <c r="B400" s="259"/>
      <c r="C400" s="260"/>
      <c r="D400" s="116" t="s">
        <v>98</v>
      </c>
      <c r="E400" s="138">
        <f>E402</f>
        <v>3530.02</v>
      </c>
      <c r="F400" s="91">
        <f t="shared" ref="F400:I400" si="304">F402</f>
        <v>356.84</v>
      </c>
      <c r="G400" s="101">
        <f t="shared" si="304"/>
        <v>10</v>
      </c>
      <c r="H400" s="101">
        <f t="shared" si="304"/>
        <v>0</v>
      </c>
      <c r="I400" s="91">
        <f t="shared" ref="I400:I401" si="305">H400/G400*100</f>
        <v>0</v>
      </c>
    </row>
    <row r="401" spans="1:10" x14ac:dyDescent="0.25">
      <c r="A401" s="281" t="s">
        <v>385</v>
      </c>
      <c r="B401" s="282"/>
      <c r="C401" s="283"/>
      <c r="D401" s="284" t="s">
        <v>98</v>
      </c>
      <c r="E401" s="285" t="e">
        <f>SUM(E403:E449)</f>
        <v>#DIV/0!</v>
      </c>
      <c r="F401" s="285">
        <f>SUM(F402)</f>
        <v>356.84</v>
      </c>
      <c r="G401" s="285">
        <f t="shared" ref="G401" si="306">SUM(G402)</f>
        <v>10</v>
      </c>
      <c r="H401" s="285">
        <f t="shared" ref="H401" si="307">SUM(H402)</f>
        <v>0</v>
      </c>
      <c r="I401" s="285">
        <f t="shared" si="305"/>
        <v>0</v>
      </c>
    </row>
    <row r="402" spans="1:10" x14ac:dyDescent="0.25">
      <c r="A402" s="123" t="s">
        <v>188</v>
      </c>
      <c r="B402" s="124"/>
      <c r="C402" s="125"/>
      <c r="D402" s="117" t="s">
        <v>100</v>
      </c>
      <c r="E402" s="139">
        <f>26596.96/K1</f>
        <v>3530.02</v>
      </c>
      <c r="F402" s="100">
        <v>356.84</v>
      </c>
      <c r="G402" s="100">
        <v>10</v>
      </c>
      <c r="H402" s="100">
        <v>0</v>
      </c>
      <c r="I402" s="108"/>
    </row>
    <row r="403" spans="1:10" ht="21" customHeight="1" x14ac:dyDescent="0.25">
      <c r="A403" s="261" t="s">
        <v>81</v>
      </c>
      <c r="B403" s="262"/>
      <c r="C403" s="263"/>
      <c r="D403" s="111" t="s">
        <v>148</v>
      </c>
      <c r="E403" s="135" t="e">
        <f>E404+E414+E420+E435</f>
        <v>#DIV/0!</v>
      </c>
      <c r="F403" s="88">
        <f>F404+F414+F420+F435</f>
        <v>62266.41</v>
      </c>
      <c r="G403" s="88">
        <f>G404+G414+G420+G435</f>
        <v>114575.5</v>
      </c>
      <c r="H403" s="88">
        <f>H404+H414+H420+H435</f>
        <v>54737.08</v>
      </c>
      <c r="I403" s="88">
        <f t="shared" ref="I403:I407" si="308">H403/G403*100</f>
        <v>47.77</v>
      </c>
    </row>
    <row r="404" spans="1:10" ht="15" customHeight="1" x14ac:dyDescent="0.25">
      <c r="A404" s="252" t="s">
        <v>133</v>
      </c>
      <c r="B404" s="253"/>
      <c r="C404" s="254"/>
      <c r="D404" s="103" t="s">
        <v>40</v>
      </c>
      <c r="E404" s="136">
        <f>E405+E410</f>
        <v>0</v>
      </c>
      <c r="F404" s="89">
        <f t="shared" ref="F404:I404" si="309">F405+F410</f>
        <v>0</v>
      </c>
      <c r="G404" s="89">
        <f t="shared" si="309"/>
        <v>1200</v>
      </c>
      <c r="H404" s="89">
        <f t="shared" si="309"/>
        <v>87.97</v>
      </c>
      <c r="I404" s="89">
        <f t="shared" si="308"/>
        <v>7.33</v>
      </c>
    </row>
    <row r="405" spans="1:10" x14ac:dyDescent="0.25">
      <c r="A405" s="255">
        <v>3</v>
      </c>
      <c r="B405" s="256"/>
      <c r="C405" s="257"/>
      <c r="D405" s="112" t="s">
        <v>22</v>
      </c>
      <c r="E405" s="137">
        <f>E406</f>
        <v>0</v>
      </c>
      <c r="F405" s="90">
        <f t="shared" ref="F405:I405" si="310">F406</f>
        <v>0</v>
      </c>
      <c r="G405" s="90">
        <f t="shared" si="310"/>
        <v>1000</v>
      </c>
      <c r="H405" s="90">
        <f t="shared" si="310"/>
        <v>87.97</v>
      </c>
      <c r="I405" s="90">
        <f t="shared" si="308"/>
        <v>8.8000000000000007</v>
      </c>
    </row>
    <row r="406" spans="1:10" x14ac:dyDescent="0.25">
      <c r="A406" s="258">
        <v>32</v>
      </c>
      <c r="B406" s="259"/>
      <c r="C406" s="260"/>
      <c r="D406" s="116" t="s">
        <v>36</v>
      </c>
      <c r="E406" s="138">
        <f>E409</f>
        <v>0</v>
      </c>
      <c r="F406" s="91">
        <f t="shared" ref="F406:I406" si="311">F409</f>
        <v>0</v>
      </c>
      <c r="G406" s="91">
        <f>G409+G408</f>
        <v>1000</v>
      </c>
      <c r="H406" s="91">
        <f>H409+H408</f>
        <v>87.97</v>
      </c>
      <c r="I406" s="91">
        <f t="shared" si="308"/>
        <v>8.8000000000000007</v>
      </c>
    </row>
    <row r="407" spans="1:10" x14ac:dyDescent="0.25">
      <c r="A407" s="281" t="s">
        <v>351</v>
      </c>
      <c r="B407" s="282"/>
      <c r="C407" s="283"/>
      <c r="D407" s="284" t="s">
        <v>451</v>
      </c>
      <c r="E407" s="285" t="e">
        <f>SUM(E410:E496)</f>
        <v>#DIV/0!</v>
      </c>
      <c r="F407" s="285">
        <f>SUM(F408:F409)</f>
        <v>0</v>
      </c>
      <c r="G407" s="285">
        <f t="shared" ref="G407:H407" si="312">SUM(G408:G409)</f>
        <v>1000</v>
      </c>
      <c r="H407" s="285">
        <f t="shared" si="312"/>
        <v>87.97</v>
      </c>
      <c r="I407" s="285">
        <f t="shared" si="308"/>
        <v>8.8000000000000007</v>
      </c>
    </row>
    <row r="408" spans="1:10" x14ac:dyDescent="0.25">
      <c r="A408" s="119" t="s">
        <v>200</v>
      </c>
      <c r="B408" s="120"/>
      <c r="C408" s="121"/>
      <c r="D408" s="117" t="s">
        <v>112</v>
      </c>
      <c r="E408" s="139">
        <v>0</v>
      </c>
      <c r="F408" s="100">
        <v>0</v>
      </c>
      <c r="G408" s="105">
        <v>0</v>
      </c>
      <c r="H408" s="105">
        <v>87.97</v>
      </c>
      <c r="I408" s="100"/>
    </row>
    <row r="409" spans="1:10" ht="15.75" customHeight="1" x14ac:dyDescent="0.25">
      <c r="A409" s="249" t="s">
        <v>187</v>
      </c>
      <c r="B409" s="250"/>
      <c r="C409" s="251"/>
      <c r="D409" s="117" t="s">
        <v>79</v>
      </c>
      <c r="E409" s="139"/>
      <c r="F409" s="100">
        <v>0</v>
      </c>
      <c r="G409" s="100">
        <v>1000</v>
      </c>
      <c r="H409" s="100">
        <v>0</v>
      </c>
      <c r="I409" s="100"/>
    </row>
    <row r="410" spans="1:10" ht="25.5" x14ac:dyDescent="0.25">
      <c r="A410" s="255">
        <v>4</v>
      </c>
      <c r="B410" s="256"/>
      <c r="C410" s="257"/>
      <c r="D410" s="112" t="s">
        <v>24</v>
      </c>
      <c r="E410" s="137">
        <f>E411</f>
        <v>0</v>
      </c>
      <c r="F410" s="90">
        <f t="shared" ref="F410:I410" si="313">F411</f>
        <v>0</v>
      </c>
      <c r="G410" s="90">
        <f t="shared" si="313"/>
        <v>200</v>
      </c>
      <c r="H410" s="90">
        <f t="shared" si="313"/>
        <v>0</v>
      </c>
      <c r="I410" s="90">
        <f t="shared" ref="I410:I412" si="314">H410/G410*100</f>
        <v>0</v>
      </c>
    </row>
    <row r="411" spans="1:10" ht="25.5" x14ac:dyDescent="0.25">
      <c r="A411" s="258">
        <v>42</v>
      </c>
      <c r="B411" s="259"/>
      <c r="C411" s="260"/>
      <c r="D411" s="116" t="s">
        <v>104</v>
      </c>
      <c r="E411" s="138">
        <f>E413</f>
        <v>0</v>
      </c>
      <c r="F411" s="91">
        <f t="shared" ref="F411:I411" si="315">F413</f>
        <v>0</v>
      </c>
      <c r="G411" s="91">
        <f t="shared" si="315"/>
        <v>200</v>
      </c>
      <c r="H411" s="91">
        <f t="shared" si="315"/>
        <v>0</v>
      </c>
      <c r="I411" s="91">
        <f t="shared" si="314"/>
        <v>0</v>
      </c>
    </row>
    <row r="412" spans="1:10" x14ac:dyDescent="0.25">
      <c r="A412" s="281" t="s">
        <v>401</v>
      </c>
      <c r="B412" s="282"/>
      <c r="C412" s="283"/>
      <c r="D412" s="284" t="s">
        <v>449</v>
      </c>
      <c r="E412" s="285" t="e">
        <f>SUM(E414:E506)</f>
        <v>#DIV/0!</v>
      </c>
      <c r="F412" s="285">
        <f>SUM(F413)</f>
        <v>0</v>
      </c>
      <c r="G412" s="285">
        <f t="shared" ref="G412" si="316">SUM(G413)</f>
        <v>200</v>
      </c>
      <c r="H412" s="285">
        <f t="shared" ref="H412" si="317">SUM(H413)</f>
        <v>0</v>
      </c>
      <c r="I412" s="285">
        <f t="shared" si="314"/>
        <v>0</v>
      </c>
    </row>
    <row r="413" spans="1:10" ht="26.25" x14ac:dyDescent="0.25">
      <c r="A413" s="119" t="s">
        <v>191</v>
      </c>
      <c r="B413" s="120"/>
      <c r="C413" s="121"/>
      <c r="D413" s="117" t="s">
        <v>113</v>
      </c>
      <c r="E413" s="139"/>
      <c r="F413" s="100">
        <v>0</v>
      </c>
      <c r="G413" s="100">
        <v>200</v>
      </c>
      <c r="H413" s="100">
        <v>0</v>
      </c>
      <c r="I413" s="100"/>
    </row>
    <row r="414" spans="1:10" ht="15" customHeight="1" x14ac:dyDescent="0.25">
      <c r="A414" s="252" t="s">
        <v>142</v>
      </c>
      <c r="B414" s="253"/>
      <c r="C414" s="254"/>
      <c r="D414" s="103" t="s">
        <v>143</v>
      </c>
      <c r="E414" s="136">
        <f>E415</f>
        <v>29532.14</v>
      </c>
      <c r="F414" s="89">
        <f t="shared" ref="F414:I414" si="318">F415</f>
        <v>2378.1999999999998</v>
      </c>
      <c r="G414" s="89">
        <f t="shared" si="318"/>
        <v>2050</v>
      </c>
      <c r="H414" s="89">
        <f t="shared" si="318"/>
        <v>63.25</v>
      </c>
      <c r="I414" s="89">
        <f t="shared" ref="I414:I417" si="319">H414/G414*100</f>
        <v>3.09</v>
      </c>
    </row>
    <row r="415" spans="1:10" x14ac:dyDescent="0.25">
      <c r="A415" s="255">
        <v>3</v>
      </c>
      <c r="B415" s="256"/>
      <c r="C415" s="257"/>
      <c r="D415" s="112" t="s">
        <v>22</v>
      </c>
      <c r="E415" s="137">
        <f>E416</f>
        <v>29532.14</v>
      </c>
      <c r="F415" s="90">
        <f t="shared" ref="F415:I415" si="320">F416</f>
        <v>2378.1999999999998</v>
      </c>
      <c r="G415" s="90">
        <f t="shared" si="320"/>
        <v>2050</v>
      </c>
      <c r="H415" s="90">
        <f t="shared" si="320"/>
        <v>63.25</v>
      </c>
      <c r="I415" s="90">
        <f t="shared" si="319"/>
        <v>3.09</v>
      </c>
    </row>
    <row r="416" spans="1:10" x14ac:dyDescent="0.25">
      <c r="A416" s="258">
        <v>32</v>
      </c>
      <c r="B416" s="259"/>
      <c r="C416" s="260"/>
      <c r="D416" s="116" t="s">
        <v>36</v>
      </c>
      <c r="E416" s="138">
        <f>SUM(E418:E419)</f>
        <v>29532.14</v>
      </c>
      <c r="F416" s="91">
        <f>SUM(F418:F419)</f>
        <v>2378.1999999999998</v>
      </c>
      <c r="G416" s="91">
        <f>SUM(G418:G419)</f>
        <v>2050</v>
      </c>
      <c r="H416" s="91">
        <f>SUM(H418:H419)</f>
        <v>63.25</v>
      </c>
      <c r="I416" s="91">
        <f t="shared" si="319"/>
        <v>3.09</v>
      </c>
      <c r="J416" s="91"/>
    </row>
    <row r="417" spans="1:9" x14ac:dyDescent="0.25">
      <c r="A417" s="281" t="s">
        <v>351</v>
      </c>
      <c r="B417" s="282"/>
      <c r="C417" s="283"/>
      <c r="D417" s="284" t="s">
        <v>451</v>
      </c>
      <c r="E417" s="285" t="e">
        <f>SUM(E420:E506)</f>
        <v>#DIV/0!</v>
      </c>
      <c r="F417" s="285">
        <f>SUM(F418:F419)</f>
        <v>2378.1999999999998</v>
      </c>
      <c r="G417" s="285">
        <f t="shared" ref="G417" si="321">SUM(G418:G419)</f>
        <v>2050</v>
      </c>
      <c r="H417" s="285">
        <f t="shared" ref="H417" si="322">SUM(H418:H419)</f>
        <v>63.25</v>
      </c>
      <c r="I417" s="285">
        <f t="shared" si="319"/>
        <v>3.09</v>
      </c>
    </row>
    <row r="418" spans="1:9" x14ac:dyDescent="0.25">
      <c r="A418" s="249" t="s">
        <v>199</v>
      </c>
      <c r="B418" s="250"/>
      <c r="C418" s="251"/>
      <c r="D418" s="117" t="s">
        <v>60</v>
      </c>
      <c r="E418" s="139">
        <f>3656.85/K1</f>
        <v>485.35</v>
      </c>
      <c r="F418" s="100">
        <v>0</v>
      </c>
      <c r="G418" s="100">
        <v>50</v>
      </c>
      <c r="H418" s="100">
        <v>0</v>
      </c>
      <c r="I418" s="100"/>
    </row>
    <row r="419" spans="1:9" x14ac:dyDescent="0.25">
      <c r="A419" s="119" t="s">
        <v>200</v>
      </c>
      <c r="B419" s="120"/>
      <c r="C419" s="121"/>
      <c r="D419" s="117" t="s">
        <v>112</v>
      </c>
      <c r="E419" s="139">
        <f>218853.05/K1</f>
        <v>29046.79</v>
      </c>
      <c r="F419" s="100">
        <v>2378.1999999999998</v>
      </c>
      <c r="G419" s="100">
        <v>2000</v>
      </c>
      <c r="H419" s="100">
        <v>63.25</v>
      </c>
      <c r="I419" s="100"/>
    </row>
    <row r="420" spans="1:9" ht="15" customHeight="1" x14ac:dyDescent="0.25">
      <c r="A420" s="252" t="s">
        <v>144</v>
      </c>
      <c r="B420" s="253"/>
      <c r="C420" s="254"/>
      <c r="D420" s="103" t="s">
        <v>145</v>
      </c>
      <c r="E420" s="136" t="e">
        <f>E421+E431</f>
        <v>#DIV/0!</v>
      </c>
      <c r="F420" s="89">
        <f t="shared" ref="F420:I420" si="323">F421+F431</f>
        <v>59888.21</v>
      </c>
      <c r="G420" s="89">
        <f t="shared" si="323"/>
        <v>111325.5</v>
      </c>
      <c r="H420" s="89">
        <f t="shared" si="323"/>
        <v>54585.86</v>
      </c>
      <c r="I420" s="89">
        <f t="shared" ref="I420:I423" si="324">H420/G420*100</f>
        <v>49.03</v>
      </c>
    </row>
    <row r="421" spans="1:9" x14ac:dyDescent="0.25">
      <c r="A421" s="255">
        <v>3</v>
      </c>
      <c r="B421" s="256"/>
      <c r="C421" s="257"/>
      <c r="D421" s="112" t="s">
        <v>22</v>
      </c>
      <c r="E421" s="137" t="e">
        <f>E422</f>
        <v>#DIV/0!</v>
      </c>
      <c r="F421" s="90">
        <f t="shared" ref="F421:I421" si="325">F422</f>
        <v>59888.21</v>
      </c>
      <c r="G421" s="90">
        <f t="shared" si="325"/>
        <v>110825.5</v>
      </c>
      <c r="H421" s="90">
        <f t="shared" si="325"/>
        <v>54585.86</v>
      </c>
      <c r="I421" s="90">
        <f t="shared" si="324"/>
        <v>49.25</v>
      </c>
    </row>
    <row r="422" spans="1:9" x14ac:dyDescent="0.25">
      <c r="A422" s="258">
        <v>32</v>
      </c>
      <c r="B422" s="259"/>
      <c r="C422" s="260"/>
      <c r="D422" s="116" t="s">
        <v>36</v>
      </c>
      <c r="E422" s="138" t="e">
        <f>SUM(E424:E430)</f>
        <v>#DIV/0!</v>
      </c>
      <c r="F422" s="91">
        <f>F423+F428</f>
        <v>59888.21</v>
      </c>
      <c r="G422" s="91">
        <f t="shared" ref="G422:H422" si="326">G423+G428</f>
        <v>110825.5</v>
      </c>
      <c r="H422" s="91">
        <f t="shared" si="326"/>
        <v>54585.86</v>
      </c>
      <c r="I422" s="91">
        <f t="shared" si="324"/>
        <v>49.25</v>
      </c>
    </row>
    <row r="423" spans="1:9" x14ac:dyDescent="0.25">
      <c r="A423" s="281" t="s">
        <v>351</v>
      </c>
      <c r="B423" s="282"/>
      <c r="C423" s="283"/>
      <c r="D423" s="284" t="s">
        <v>451</v>
      </c>
      <c r="E423" s="285" t="e">
        <f>SUM(E426:E512)</f>
        <v>#DIV/0!</v>
      </c>
      <c r="F423" s="285">
        <f>SUM(F424:F427)</f>
        <v>59888.21</v>
      </c>
      <c r="G423" s="285">
        <f t="shared" ref="G423:H423" si="327">SUM(G424:G427)</f>
        <v>110225.5</v>
      </c>
      <c r="H423" s="285">
        <f t="shared" si="327"/>
        <v>54585.86</v>
      </c>
      <c r="I423" s="285">
        <f t="shared" si="324"/>
        <v>49.52</v>
      </c>
    </row>
    <row r="424" spans="1:9" x14ac:dyDescent="0.25">
      <c r="A424" s="249" t="s">
        <v>199</v>
      </c>
      <c r="B424" s="250"/>
      <c r="C424" s="251"/>
      <c r="D424" s="117" t="s">
        <v>60</v>
      </c>
      <c r="E424" s="139">
        <f>3273.22/K1</f>
        <v>434.43</v>
      </c>
      <c r="F424" s="100">
        <v>0</v>
      </c>
      <c r="G424" s="100">
        <v>300</v>
      </c>
      <c r="H424" s="100">
        <v>0</v>
      </c>
      <c r="I424" s="100"/>
    </row>
    <row r="425" spans="1:9" x14ac:dyDescent="0.25">
      <c r="A425" s="119" t="s">
        <v>200</v>
      </c>
      <c r="B425" s="120"/>
      <c r="C425" s="121"/>
      <c r="D425" s="117" t="s">
        <v>112</v>
      </c>
      <c r="E425" s="139">
        <f>167699.64/K1</f>
        <v>22257.57</v>
      </c>
      <c r="F425" s="100">
        <v>59888.21</v>
      </c>
      <c r="G425" s="100">
        <f>183*450*1.33</f>
        <v>109525.5</v>
      </c>
      <c r="H425" s="100">
        <v>54585.86</v>
      </c>
      <c r="I425" s="100"/>
    </row>
    <row r="426" spans="1:9" x14ac:dyDescent="0.25">
      <c r="A426" s="249" t="s">
        <v>186</v>
      </c>
      <c r="B426" s="250"/>
      <c r="C426" s="251"/>
      <c r="D426" s="117" t="s">
        <v>78</v>
      </c>
      <c r="E426" s="139"/>
      <c r="F426" s="100">
        <v>0</v>
      </c>
      <c r="G426" s="100">
        <v>200</v>
      </c>
      <c r="H426" s="100">
        <v>0</v>
      </c>
      <c r="I426" s="100"/>
    </row>
    <row r="427" spans="1:9" x14ac:dyDescent="0.25">
      <c r="A427" s="249" t="s">
        <v>201</v>
      </c>
      <c r="B427" s="250"/>
      <c r="C427" s="251"/>
      <c r="D427" s="117" t="s">
        <v>62</v>
      </c>
      <c r="E427" s="139">
        <f>293.21/K1</f>
        <v>38.92</v>
      </c>
      <c r="F427" s="100">
        <v>0</v>
      </c>
      <c r="G427" s="100">
        <v>200</v>
      </c>
      <c r="H427" s="100">
        <v>0</v>
      </c>
      <c r="I427" s="100"/>
    </row>
    <row r="428" spans="1:9" x14ac:dyDescent="0.25">
      <c r="A428" s="281" t="s">
        <v>360</v>
      </c>
      <c r="B428" s="282"/>
      <c r="C428" s="283"/>
      <c r="D428" s="284" t="s">
        <v>444</v>
      </c>
      <c r="E428" s="285" t="e">
        <f>SUM(E431:E517)</f>
        <v>#DIV/0!</v>
      </c>
      <c r="F428" s="285">
        <f>SUM(F429:F430)</f>
        <v>0</v>
      </c>
      <c r="G428" s="285">
        <f t="shared" ref="G428" si="328">SUM(G429:G430)</f>
        <v>600</v>
      </c>
      <c r="H428" s="285">
        <f t="shared" ref="H428" si="329">SUM(H429:H430)</f>
        <v>0</v>
      </c>
      <c r="I428" s="285">
        <f t="shared" ref="I428" si="330">H428/G428*100</f>
        <v>0</v>
      </c>
    </row>
    <row r="429" spans="1:9" x14ac:dyDescent="0.25">
      <c r="A429" s="249" t="s">
        <v>187</v>
      </c>
      <c r="B429" s="250"/>
      <c r="C429" s="251"/>
      <c r="D429" s="117" t="s">
        <v>79</v>
      </c>
      <c r="E429" s="139"/>
      <c r="F429" s="100">
        <v>0</v>
      </c>
      <c r="G429" s="100">
        <v>500</v>
      </c>
      <c r="H429" s="100">
        <v>0</v>
      </c>
      <c r="I429" s="100"/>
    </row>
    <row r="430" spans="1:9" x14ac:dyDescent="0.25">
      <c r="A430" s="249" t="s">
        <v>195</v>
      </c>
      <c r="B430" s="250"/>
      <c r="C430" s="251"/>
      <c r="D430" s="122" t="s">
        <v>203</v>
      </c>
      <c r="E430" s="139"/>
      <c r="F430" s="100">
        <v>0</v>
      </c>
      <c r="G430" s="100">
        <v>100</v>
      </c>
      <c r="H430" s="100">
        <v>0</v>
      </c>
      <c r="I430" s="100"/>
    </row>
    <row r="431" spans="1:9" ht="25.5" x14ac:dyDescent="0.25">
      <c r="A431" s="255">
        <v>4</v>
      </c>
      <c r="B431" s="256"/>
      <c r="C431" s="257"/>
      <c r="D431" s="112" t="s">
        <v>24</v>
      </c>
      <c r="E431" s="137">
        <f>E432</f>
        <v>1693.14</v>
      </c>
      <c r="F431" s="104">
        <f t="shared" ref="F431:I431" si="331">F432</f>
        <v>0</v>
      </c>
      <c r="G431" s="90">
        <f t="shared" si="331"/>
        <v>500</v>
      </c>
      <c r="H431" s="90">
        <f t="shared" si="331"/>
        <v>0</v>
      </c>
      <c r="I431" s="90">
        <f t="shared" ref="I431:I433" si="332">H431/G431*100</f>
        <v>0</v>
      </c>
    </row>
    <row r="432" spans="1:9" ht="25.5" x14ac:dyDescent="0.25">
      <c r="A432" s="258">
        <v>42</v>
      </c>
      <c r="B432" s="259"/>
      <c r="C432" s="260"/>
      <c r="D432" s="116" t="s">
        <v>104</v>
      </c>
      <c r="E432" s="138">
        <f>E434</f>
        <v>1693.14</v>
      </c>
      <c r="F432" s="101">
        <f>F434</f>
        <v>0</v>
      </c>
      <c r="G432" s="91">
        <f>G434</f>
        <v>500</v>
      </c>
      <c r="H432" s="91">
        <f>H434</f>
        <v>0</v>
      </c>
      <c r="I432" s="91">
        <f t="shared" si="332"/>
        <v>0</v>
      </c>
    </row>
    <row r="433" spans="1:14" x14ac:dyDescent="0.25">
      <c r="A433" s="281" t="s">
        <v>401</v>
      </c>
      <c r="B433" s="282"/>
      <c r="C433" s="283"/>
      <c r="D433" s="284" t="s">
        <v>449</v>
      </c>
      <c r="E433" s="285" t="e">
        <f>SUM(E435:E527)</f>
        <v>#DIV/0!</v>
      </c>
      <c r="F433" s="285">
        <f>SUM(F434)</f>
        <v>0</v>
      </c>
      <c r="G433" s="285">
        <f>SUM(G434)</f>
        <v>500</v>
      </c>
      <c r="H433" s="285">
        <f t="shared" ref="H433" si="333">SUM(H434)</f>
        <v>0</v>
      </c>
      <c r="I433" s="285">
        <f t="shared" si="332"/>
        <v>0</v>
      </c>
    </row>
    <row r="434" spans="1:14" ht="26.25" x14ac:dyDescent="0.25">
      <c r="A434" s="119" t="s">
        <v>191</v>
      </c>
      <c r="B434" s="120"/>
      <c r="C434" s="121"/>
      <c r="D434" s="117" t="s">
        <v>113</v>
      </c>
      <c r="E434" s="139">
        <f>12756.93/K1</f>
        <v>1693.14</v>
      </c>
      <c r="F434" s="100">
        <v>0</v>
      </c>
      <c r="G434" s="100">
        <v>500</v>
      </c>
      <c r="H434" s="100">
        <v>0</v>
      </c>
      <c r="I434" s="108"/>
    </row>
    <row r="435" spans="1:14" ht="15" customHeight="1" x14ac:dyDescent="0.25">
      <c r="A435" s="252" t="s">
        <v>202</v>
      </c>
      <c r="B435" s="253"/>
      <c r="C435" s="254"/>
      <c r="D435" s="103" t="s">
        <v>175</v>
      </c>
      <c r="E435" s="136">
        <f>E436</f>
        <v>0</v>
      </c>
      <c r="F435" s="89">
        <f t="shared" ref="F435:I435" si="334">F436</f>
        <v>0</v>
      </c>
      <c r="G435" s="89">
        <f t="shared" si="334"/>
        <v>0</v>
      </c>
      <c r="H435" s="89">
        <f t="shared" si="334"/>
        <v>0</v>
      </c>
      <c r="I435" s="89">
        <f t="shared" si="334"/>
        <v>0</v>
      </c>
    </row>
    <row r="436" spans="1:14" x14ac:dyDescent="0.25">
      <c r="A436" s="255">
        <v>3</v>
      </c>
      <c r="B436" s="256"/>
      <c r="C436" s="257"/>
      <c r="D436" s="112" t="s">
        <v>22</v>
      </c>
      <c r="E436" s="137">
        <f>E437</f>
        <v>0</v>
      </c>
      <c r="F436" s="90">
        <f t="shared" ref="F436:I436" si="335">F437</f>
        <v>0</v>
      </c>
      <c r="G436" s="90">
        <f t="shared" si="335"/>
        <v>0</v>
      </c>
      <c r="H436" s="90">
        <f t="shared" si="335"/>
        <v>0</v>
      </c>
      <c r="I436" s="90">
        <f t="shared" si="335"/>
        <v>0</v>
      </c>
    </row>
    <row r="437" spans="1:14" x14ac:dyDescent="0.25">
      <c r="A437" s="258">
        <v>32</v>
      </c>
      <c r="B437" s="259"/>
      <c r="C437" s="260"/>
      <c r="D437" s="116" t="s">
        <v>36</v>
      </c>
      <c r="E437" s="138">
        <f>SUM(E438:E440)</f>
        <v>0</v>
      </c>
      <c r="F437" s="91">
        <f t="shared" ref="F437:I437" si="336">SUM(F438:F440)</f>
        <v>0</v>
      </c>
      <c r="G437" s="91">
        <f t="shared" si="336"/>
        <v>0</v>
      </c>
      <c r="H437" s="91">
        <f t="shared" si="336"/>
        <v>0</v>
      </c>
      <c r="I437" s="91">
        <f t="shared" si="336"/>
        <v>0</v>
      </c>
    </row>
    <row r="438" spans="1:14" x14ac:dyDescent="0.25">
      <c r="A438" s="119" t="s">
        <v>200</v>
      </c>
      <c r="B438" s="120"/>
      <c r="C438" s="121"/>
      <c r="D438" s="117" t="s">
        <v>112</v>
      </c>
      <c r="E438" s="139"/>
      <c r="F438" s="100">
        <v>0</v>
      </c>
      <c r="G438" s="77"/>
      <c r="H438" s="77"/>
      <c r="I438" s="78"/>
    </row>
    <row r="439" spans="1:14" x14ac:dyDescent="0.25">
      <c r="A439" s="249" t="s">
        <v>201</v>
      </c>
      <c r="B439" s="250"/>
      <c r="C439" s="251"/>
      <c r="D439" s="117" t="s">
        <v>62</v>
      </c>
      <c r="E439" s="139"/>
      <c r="F439" s="100">
        <v>0</v>
      </c>
      <c r="G439" s="77"/>
      <c r="H439" s="77"/>
      <c r="I439" s="78"/>
    </row>
    <row r="440" spans="1:14" x14ac:dyDescent="0.25">
      <c r="A440" s="249" t="s">
        <v>187</v>
      </c>
      <c r="B440" s="250"/>
      <c r="C440" s="251"/>
      <c r="D440" s="117" t="s">
        <v>79</v>
      </c>
      <c r="E440" s="139"/>
      <c r="F440" s="100">
        <v>0</v>
      </c>
      <c r="G440" s="77"/>
      <c r="H440" s="77"/>
      <c r="I440" s="78"/>
    </row>
    <row r="441" spans="1:14" ht="21" customHeight="1" x14ac:dyDescent="0.25">
      <c r="A441" s="261" t="s">
        <v>114</v>
      </c>
      <c r="B441" s="262"/>
      <c r="C441" s="263"/>
      <c r="D441" s="111" t="s">
        <v>149</v>
      </c>
      <c r="E441" s="135">
        <f>E442+E447</f>
        <v>26198.61</v>
      </c>
      <c r="F441" s="88">
        <f t="shared" ref="F441:I441" si="337">F442+F447</f>
        <v>0</v>
      </c>
      <c r="G441" s="88">
        <f t="shared" si="337"/>
        <v>27100</v>
      </c>
      <c r="H441" s="88">
        <f t="shared" si="337"/>
        <v>42.51</v>
      </c>
      <c r="I441" s="88">
        <f t="shared" ref="I441:I445" si="338">H441/G441*100</f>
        <v>0.16</v>
      </c>
    </row>
    <row r="442" spans="1:14" ht="15" customHeight="1" x14ac:dyDescent="0.25">
      <c r="A442" s="252" t="s">
        <v>133</v>
      </c>
      <c r="B442" s="253"/>
      <c r="C442" s="254"/>
      <c r="D442" s="103" t="s">
        <v>40</v>
      </c>
      <c r="E442" s="136">
        <f>E443</f>
        <v>0</v>
      </c>
      <c r="F442" s="89">
        <f t="shared" ref="F442:I442" si="339">F443</f>
        <v>0</v>
      </c>
      <c r="G442" s="89">
        <f t="shared" si="339"/>
        <v>100</v>
      </c>
      <c r="H442" s="89">
        <f t="shared" si="339"/>
        <v>0.47</v>
      </c>
      <c r="I442" s="89">
        <f t="shared" si="338"/>
        <v>0.47</v>
      </c>
      <c r="N442" s="41"/>
    </row>
    <row r="443" spans="1:14" x14ac:dyDescent="0.25">
      <c r="A443" s="255">
        <v>3</v>
      </c>
      <c r="B443" s="256"/>
      <c r="C443" s="257"/>
      <c r="D443" s="112" t="s">
        <v>22</v>
      </c>
      <c r="E443" s="137">
        <f>E444</f>
        <v>0</v>
      </c>
      <c r="F443" s="90">
        <f t="shared" ref="F443:I443" si="340">F444</f>
        <v>0</v>
      </c>
      <c r="G443" s="90">
        <f t="shared" si="340"/>
        <v>100</v>
      </c>
      <c r="H443" s="90">
        <f t="shared" si="340"/>
        <v>0.47</v>
      </c>
      <c r="I443" s="90">
        <f t="shared" si="338"/>
        <v>0.47</v>
      </c>
    </row>
    <row r="444" spans="1:14" x14ac:dyDescent="0.25">
      <c r="A444" s="258">
        <v>32</v>
      </c>
      <c r="B444" s="259"/>
      <c r="C444" s="260"/>
      <c r="D444" s="116" t="s">
        <v>36</v>
      </c>
      <c r="E444" s="138">
        <f>E446</f>
        <v>0</v>
      </c>
      <c r="F444" s="91">
        <f t="shared" ref="F444:I444" si="341">F446</f>
        <v>0</v>
      </c>
      <c r="G444" s="91">
        <f t="shared" si="341"/>
        <v>100</v>
      </c>
      <c r="H444" s="91">
        <f t="shared" si="341"/>
        <v>0.47</v>
      </c>
      <c r="I444" s="91">
        <f t="shared" si="338"/>
        <v>0.47</v>
      </c>
    </row>
    <row r="445" spans="1:14" x14ac:dyDescent="0.25">
      <c r="A445" s="281" t="s">
        <v>351</v>
      </c>
      <c r="B445" s="282"/>
      <c r="C445" s="283"/>
      <c r="D445" s="284" t="s">
        <v>451</v>
      </c>
      <c r="E445" s="285" t="e">
        <f>SUM(E448:E533)</f>
        <v>#DIV/0!</v>
      </c>
      <c r="F445" s="285">
        <f>SUM(F446)</f>
        <v>0</v>
      </c>
      <c r="G445" s="285">
        <f>SUM(G446)</f>
        <v>100</v>
      </c>
      <c r="H445" s="285">
        <f>SUM(H446)</f>
        <v>0.47</v>
      </c>
      <c r="I445" s="285">
        <f t="shared" si="338"/>
        <v>0.47</v>
      </c>
    </row>
    <row r="446" spans="1:14" x14ac:dyDescent="0.25">
      <c r="A446" s="249" t="s">
        <v>199</v>
      </c>
      <c r="B446" s="250"/>
      <c r="C446" s="251"/>
      <c r="D446" s="117" t="s">
        <v>115</v>
      </c>
      <c r="E446" s="139"/>
      <c r="F446" s="100">
        <v>0</v>
      </c>
      <c r="G446" s="100">
        <v>100</v>
      </c>
      <c r="H446" s="100">
        <v>0.47</v>
      </c>
      <c r="I446" s="100"/>
    </row>
    <row r="447" spans="1:14" ht="15" customHeight="1" x14ac:dyDescent="0.25">
      <c r="A447" s="252" t="s">
        <v>144</v>
      </c>
      <c r="B447" s="253"/>
      <c r="C447" s="254"/>
      <c r="D447" s="103" t="s">
        <v>145</v>
      </c>
      <c r="E447" s="136">
        <f>E448+E453</f>
        <v>26198.61</v>
      </c>
      <c r="F447" s="89">
        <f t="shared" ref="F447:I447" si="342">F448+F453</f>
        <v>0</v>
      </c>
      <c r="G447" s="89">
        <f t="shared" si="342"/>
        <v>27000</v>
      </c>
      <c r="H447" s="89">
        <f t="shared" si="342"/>
        <v>42.04</v>
      </c>
      <c r="I447" s="89">
        <f t="shared" ref="I447:I450" si="343">H447/G447*100</f>
        <v>0.16</v>
      </c>
    </row>
    <row r="448" spans="1:14" x14ac:dyDescent="0.25">
      <c r="A448" s="255">
        <v>3</v>
      </c>
      <c r="B448" s="256"/>
      <c r="C448" s="257"/>
      <c r="D448" s="112" t="s">
        <v>22</v>
      </c>
      <c r="E448" s="137">
        <f>E449+E452</f>
        <v>24655.89</v>
      </c>
      <c r="F448" s="90">
        <f t="shared" ref="F448:I448" si="344">F449+F452</f>
        <v>0</v>
      </c>
      <c r="G448" s="90">
        <f t="shared" si="344"/>
        <v>25000</v>
      </c>
      <c r="H448" s="90">
        <f t="shared" si="344"/>
        <v>42.04</v>
      </c>
      <c r="I448" s="90">
        <f t="shared" si="343"/>
        <v>0.17</v>
      </c>
    </row>
    <row r="449" spans="1:14" x14ac:dyDescent="0.25">
      <c r="A449" s="258">
        <v>32</v>
      </c>
      <c r="B449" s="259"/>
      <c r="C449" s="260"/>
      <c r="D449" s="116" t="s">
        <v>36</v>
      </c>
      <c r="E449" s="138">
        <f>E451</f>
        <v>24655.89</v>
      </c>
      <c r="F449" s="91">
        <f t="shared" ref="F449:I449" si="345">F451</f>
        <v>0</v>
      </c>
      <c r="G449" s="91">
        <f t="shared" si="345"/>
        <v>25000</v>
      </c>
      <c r="H449" s="91">
        <f t="shared" si="345"/>
        <v>42.04</v>
      </c>
      <c r="I449" s="91">
        <f t="shared" si="343"/>
        <v>0.17</v>
      </c>
    </row>
    <row r="450" spans="1:14" x14ac:dyDescent="0.25">
      <c r="A450" s="281" t="s">
        <v>351</v>
      </c>
      <c r="B450" s="282"/>
      <c r="C450" s="283"/>
      <c r="D450" s="284" t="s">
        <v>451</v>
      </c>
      <c r="E450" s="285" t="e">
        <f>SUM(E453:E538)</f>
        <v>#DIV/0!</v>
      </c>
      <c r="F450" s="285">
        <f>SUM(F451)</f>
        <v>0</v>
      </c>
      <c r="G450" s="285">
        <f>SUM(G451)</f>
        <v>25000</v>
      </c>
      <c r="H450" s="285">
        <f>SUM(H451)</f>
        <v>42.04</v>
      </c>
      <c r="I450" s="285">
        <f t="shared" si="343"/>
        <v>0.17</v>
      </c>
    </row>
    <row r="451" spans="1:14" x14ac:dyDescent="0.25">
      <c r="A451" s="249" t="s">
        <v>199</v>
      </c>
      <c r="B451" s="250"/>
      <c r="C451" s="251"/>
      <c r="D451" s="117" t="s">
        <v>115</v>
      </c>
      <c r="E451" s="139">
        <f>185769.84/K1</f>
        <v>24655.89</v>
      </c>
      <c r="F451" s="100">
        <v>0</v>
      </c>
      <c r="G451" s="100">
        <v>25000</v>
      </c>
      <c r="H451" s="100">
        <v>42.04</v>
      </c>
      <c r="I451" s="100"/>
    </row>
    <row r="452" spans="1:14" x14ac:dyDescent="0.25">
      <c r="A452" s="258">
        <v>34</v>
      </c>
      <c r="B452" s="259"/>
      <c r="C452" s="260"/>
      <c r="D452" s="116" t="s">
        <v>98</v>
      </c>
      <c r="E452" s="138">
        <v>0</v>
      </c>
      <c r="F452" s="91">
        <v>0</v>
      </c>
      <c r="G452" s="91">
        <v>0</v>
      </c>
      <c r="H452" s="91">
        <v>0</v>
      </c>
      <c r="I452" s="91"/>
    </row>
    <row r="453" spans="1:14" ht="25.5" x14ac:dyDescent="0.25">
      <c r="A453" s="255">
        <v>4</v>
      </c>
      <c r="B453" s="256"/>
      <c r="C453" s="257"/>
      <c r="D453" s="112" t="s">
        <v>24</v>
      </c>
      <c r="E453" s="137">
        <f>E454</f>
        <v>1542.72</v>
      </c>
      <c r="F453" s="90">
        <f t="shared" ref="F453:I453" si="346">F454</f>
        <v>0</v>
      </c>
      <c r="G453" s="90">
        <f t="shared" si="346"/>
        <v>2000</v>
      </c>
      <c r="H453" s="90">
        <f t="shared" si="346"/>
        <v>0</v>
      </c>
      <c r="I453" s="90">
        <f t="shared" ref="I452:I470" si="347">H453/G453*100</f>
        <v>0</v>
      </c>
    </row>
    <row r="454" spans="1:14" ht="25.5" x14ac:dyDescent="0.25">
      <c r="A454" s="258">
        <v>42</v>
      </c>
      <c r="B454" s="259"/>
      <c r="C454" s="260"/>
      <c r="D454" s="116" t="s">
        <v>104</v>
      </c>
      <c r="E454" s="138">
        <f>E456</f>
        <v>1542.72</v>
      </c>
      <c r="F454" s="91">
        <f t="shared" ref="F454:I454" si="348">F456</f>
        <v>0</v>
      </c>
      <c r="G454" s="91">
        <f t="shared" si="348"/>
        <v>2000</v>
      </c>
      <c r="H454" s="91">
        <f t="shared" si="348"/>
        <v>0</v>
      </c>
      <c r="I454" s="91">
        <f t="shared" si="347"/>
        <v>0</v>
      </c>
    </row>
    <row r="455" spans="1:14" x14ac:dyDescent="0.25">
      <c r="A455" s="281" t="s">
        <v>406</v>
      </c>
      <c r="B455" s="282"/>
      <c r="C455" s="283"/>
      <c r="D455" s="284" t="s">
        <v>270</v>
      </c>
      <c r="E455" s="285" t="e">
        <f>SUM(E457:E550)</f>
        <v>#DIV/0!</v>
      </c>
      <c r="F455" s="285">
        <f>F456</f>
        <v>0</v>
      </c>
      <c r="G455" s="285">
        <f t="shared" ref="G455" si="349">G456</f>
        <v>2000</v>
      </c>
      <c r="H455" s="285">
        <f t="shared" ref="H455" si="350">H456</f>
        <v>0</v>
      </c>
      <c r="I455" s="285">
        <f t="shared" si="347"/>
        <v>0</v>
      </c>
    </row>
    <row r="456" spans="1:14" x14ac:dyDescent="0.25">
      <c r="A456" s="249" t="s">
        <v>192</v>
      </c>
      <c r="B456" s="250"/>
      <c r="C456" s="251"/>
      <c r="D456" s="117" t="s">
        <v>116</v>
      </c>
      <c r="E456" s="139">
        <f>11623.61/K1</f>
        <v>1542.72</v>
      </c>
      <c r="F456" s="100">
        <v>0</v>
      </c>
      <c r="G456" s="100">
        <v>2000</v>
      </c>
      <c r="H456" s="100">
        <v>0</v>
      </c>
      <c r="I456" s="100"/>
    </row>
    <row r="457" spans="1:14" ht="21" customHeight="1" x14ac:dyDescent="0.25">
      <c r="A457" s="261" t="s">
        <v>85</v>
      </c>
      <c r="B457" s="262"/>
      <c r="C457" s="263"/>
      <c r="D457" s="111" t="s">
        <v>258</v>
      </c>
      <c r="E457" s="135">
        <f>E458+E463</f>
        <v>0</v>
      </c>
      <c r="F457" s="88">
        <f t="shared" ref="F457:I457" si="351">F458+F463</f>
        <v>1021.77</v>
      </c>
      <c r="G457" s="88">
        <f t="shared" si="351"/>
        <v>1005.91</v>
      </c>
      <c r="H457" s="88">
        <f t="shared" si="351"/>
        <v>1005.91</v>
      </c>
      <c r="I457" s="88">
        <f t="shared" si="347"/>
        <v>100</v>
      </c>
    </row>
    <row r="458" spans="1:14" ht="15" customHeight="1" x14ac:dyDescent="0.25">
      <c r="A458" s="252" t="s">
        <v>133</v>
      </c>
      <c r="B458" s="253"/>
      <c r="C458" s="254"/>
      <c r="D458" s="103" t="s">
        <v>40</v>
      </c>
      <c r="E458" s="136">
        <f>E459</f>
        <v>0</v>
      </c>
      <c r="F458" s="89">
        <f t="shared" ref="F458:I459" si="352">F459</f>
        <v>0</v>
      </c>
      <c r="G458" s="89">
        <f t="shared" si="352"/>
        <v>2.06</v>
      </c>
      <c r="H458" s="89">
        <f t="shared" si="352"/>
        <v>2.06</v>
      </c>
      <c r="I458" s="89">
        <f t="shared" si="347"/>
        <v>100</v>
      </c>
      <c r="N458" s="41"/>
    </row>
    <row r="459" spans="1:14" x14ac:dyDescent="0.25">
      <c r="A459" s="255">
        <v>3</v>
      </c>
      <c r="B459" s="256"/>
      <c r="C459" s="257"/>
      <c r="D459" s="112" t="s">
        <v>22</v>
      </c>
      <c r="E459" s="137">
        <f>E460</f>
        <v>0</v>
      </c>
      <c r="F459" s="90">
        <f t="shared" si="352"/>
        <v>0</v>
      </c>
      <c r="G459" s="90">
        <f t="shared" si="352"/>
        <v>2.06</v>
      </c>
      <c r="H459" s="90">
        <f t="shared" si="352"/>
        <v>2.06</v>
      </c>
      <c r="I459" s="90">
        <f t="shared" si="347"/>
        <v>100</v>
      </c>
    </row>
    <row r="460" spans="1:14" x14ac:dyDescent="0.25">
      <c r="A460" s="258">
        <v>32</v>
      </c>
      <c r="B460" s="259"/>
      <c r="C460" s="260"/>
      <c r="D460" s="116" t="s">
        <v>36</v>
      </c>
      <c r="E460" s="138">
        <f>E462</f>
        <v>0</v>
      </c>
      <c r="F460" s="91">
        <f>F462</f>
        <v>0</v>
      </c>
      <c r="G460" s="91">
        <f>G462</f>
        <v>2.06</v>
      </c>
      <c r="H460" s="91">
        <f>H462</f>
        <v>2.06</v>
      </c>
      <c r="I460" s="91">
        <f t="shared" si="347"/>
        <v>100</v>
      </c>
    </row>
    <row r="461" spans="1:14" x14ac:dyDescent="0.25">
      <c r="A461" s="281" t="s">
        <v>351</v>
      </c>
      <c r="B461" s="282"/>
      <c r="C461" s="283"/>
      <c r="D461" s="284" t="s">
        <v>451</v>
      </c>
      <c r="E461" s="285" t="e">
        <f>SUM(E464:E549)</f>
        <v>#DIV/0!</v>
      </c>
      <c r="F461" s="285">
        <f>SUM(F462)</f>
        <v>0</v>
      </c>
      <c r="G461" s="285">
        <f>SUM(G462)</f>
        <v>2.06</v>
      </c>
      <c r="H461" s="285">
        <f>SUM(H462)</f>
        <v>2.06</v>
      </c>
      <c r="I461" s="285">
        <f t="shared" si="347"/>
        <v>100</v>
      </c>
    </row>
    <row r="462" spans="1:14" x14ac:dyDescent="0.25">
      <c r="A462" s="249" t="s">
        <v>199</v>
      </c>
      <c r="B462" s="250"/>
      <c r="C462" s="251"/>
      <c r="D462" s="117" t="s">
        <v>115</v>
      </c>
      <c r="E462" s="139"/>
      <c r="F462" s="100">
        <v>0</v>
      </c>
      <c r="G462" s="100">
        <v>2.06</v>
      </c>
      <c r="H462" s="100">
        <v>2.06</v>
      </c>
      <c r="I462" s="100"/>
    </row>
    <row r="463" spans="1:14" ht="15" customHeight="1" x14ac:dyDescent="0.25">
      <c r="A463" s="252" t="s">
        <v>144</v>
      </c>
      <c r="B463" s="253"/>
      <c r="C463" s="254"/>
      <c r="D463" s="103" t="s">
        <v>145</v>
      </c>
      <c r="E463" s="136">
        <f>E464+E472</f>
        <v>0</v>
      </c>
      <c r="F463" s="89">
        <f t="shared" ref="F463:I463" si="353">F464+F472</f>
        <v>1021.77</v>
      </c>
      <c r="G463" s="89">
        <f t="shared" si="353"/>
        <v>1003.85</v>
      </c>
      <c r="H463" s="89">
        <f t="shared" si="353"/>
        <v>1003.85</v>
      </c>
      <c r="I463" s="89">
        <f t="shared" si="347"/>
        <v>100</v>
      </c>
    </row>
    <row r="464" spans="1:14" x14ac:dyDescent="0.25">
      <c r="A464" s="255">
        <v>3</v>
      </c>
      <c r="B464" s="256"/>
      <c r="C464" s="257"/>
      <c r="D464" s="112" t="s">
        <v>22</v>
      </c>
      <c r="E464" s="137">
        <f>E465+E468</f>
        <v>0</v>
      </c>
      <c r="F464" s="90">
        <f t="shared" ref="F464:I464" si="354">F465+F468+F469</f>
        <v>1021.77</v>
      </c>
      <c r="G464" s="90">
        <f t="shared" si="354"/>
        <v>1003.85</v>
      </c>
      <c r="H464" s="90">
        <f>H465+H468+H469</f>
        <v>1003.85</v>
      </c>
      <c r="I464" s="90">
        <f t="shared" si="347"/>
        <v>100</v>
      </c>
    </row>
    <row r="465" spans="1:12" x14ac:dyDescent="0.25">
      <c r="A465" s="258">
        <v>32</v>
      </c>
      <c r="B465" s="259"/>
      <c r="C465" s="260"/>
      <c r="D465" s="116" t="s">
        <v>36</v>
      </c>
      <c r="E465" s="138">
        <f>E467</f>
        <v>0</v>
      </c>
      <c r="F465" s="91">
        <f t="shared" ref="F465:I465" si="355">F467</f>
        <v>1021.77</v>
      </c>
      <c r="G465" s="91">
        <f t="shared" si="355"/>
        <v>1003.85</v>
      </c>
      <c r="H465" s="91">
        <f t="shared" si="355"/>
        <v>0</v>
      </c>
      <c r="I465" s="91">
        <f t="shared" si="347"/>
        <v>0</v>
      </c>
    </row>
    <row r="466" spans="1:12" x14ac:dyDescent="0.25">
      <c r="A466" s="281" t="s">
        <v>351</v>
      </c>
      <c r="B466" s="282"/>
      <c r="C466" s="283"/>
      <c r="D466" s="284" t="s">
        <v>451</v>
      </c>
      <c r="E466" s="285" t="e">
        <f>SUM(E469:E554)</f>
        <v>#DIV/0!</v>
      </c>
      <c r="F466" s="285">
        <f>SUM(F467)</f>
        <v>1021.77</v>
      </c>
      <c r="G466" s="285">
        <f>SUM(G467)</f>
        <v>1003.85</v>
      </c>
      <c r="H466" s="285">
        <f>SUM(H467)</f>
        <v>0</v>
      </c>
      <c r="I466" s="285">
        <f t="shared" si="347"/>
        <v>0</v>
      </c>
    </row>
    <row r="467" spans="1:12" x14ac:dyDescent="0.25">
      <c r="A467" s="249" t="s">
        <v>199</v>
      </c>
      <c r="B467" s="250"/>
      <c r="C467" s="251"/>
      <c r="D467" s="117" t="s">
        <v>115</v>
      </c>
      <c r="E467" s="139">
        <v>0</v>
      </c>
      <c r="F467" s="100">
        <v>1021.77</v>
      </c>
      <c r="G467" s="100">
        <v>1003.85</v>
      </c>
      <c r="H467" s="100">
        <v>0</v>
      </c>
      <c r="I467" s="100"/>
    </row>
    <row r="468" spans="1:12" x14ac:dyDescent="0.25">
      <c r="A468" s="258">
        <v>38</v>
      </c>
      <c r="B468" s="259"/>
      <c r="C468" s="260"/>
      <c r="D468" s="116" t="s">
        <v>98</v>
      </c>
      <c r="E468" s="138">
        <v>0</v>
      </c>
      <c r="F468" s="91">
        <v>0</v>
      </c>
      <c r="G468" s="91">
        <v>0</v>
      </c>
      <c r="H468" s="91">
        <v>0</v>
      </c>
      <c r="I468" s="91" t="e">
        <f t="shared" si="347"/>
        <v>#DIV/0!</v>
      </c>
    </row>
    <row r="469" spans="1:12" x14ac:dyDescent="0.25">
      <c r="A469" s="258">
        <v>38</v>
      </c>
      <c r="B469" s="259"/>
      <c r="C469" s="260"/>
      <c r="D469" s="116" t="s">
        <v>274</v>
      </c>
      <c r="E469" s="138">
        <f>E471</f>
        <v>0</v>
      </c>
      <c r="F469" s="91">
        <f t="shared" ref="F469:I469" si="356">F471</f>
        <v>0</v>
      </c>
      <c r="G469" s="91">
        <f t="shared" si="356"/>
        <v>0</v>
      </c>
      <c r="H469" s="91">
        <f t="shared" si="356"/>
        <v>1003.85</v>
      </c>
      <c r="I469" s="91" t="e">
        <f t="shared" si="347"/>
        <v>#DIV/0!</v>
      </c>
    </row>
    <row r="470" spans="1:12" x14ac:dyDescent="0.25">
      <c r="A470" s="281" t="s">
        <v>452</v>
      </c>
      <c r="B470" s="282"/>
      <c r="C470" s="283"/>
      <c r="D470" s="284" t="s">
        <v>102</v>
      </c>
      <c r="E470" s="285" t="e">
        <f>SUM(E473:E558)</f>
        <v>#DIV/0!</v>
      </c>
      <c r="F470" s="285">
        <f>SUM(F471)</f>
        <v>0</v>
      </c>
      <c r="G470" s="285">
        <f>SUM(G471)</f>
        <v>0</v>
      </c>
      <c r="H470" s="285">
        <f>SUM(H471)</f>
        <v>1003.85</v>
      </c>
      <c r="I470" s="285" t="e">
        <f t="shared" si="347"/>
        <v>#DIV/0!</v>
      </c>
    </row>
    <row r="471" spans="1:12" x14ac:dyDescent="0.25">
      <c r="A471" s="249" t="s">
        <v>275</v>
      </c>
      <c r="B471" s="250"/>
      <c r="C471" s="251"/>
      <c r="D471" s="117" t="s">
        <v>276</v>
      </c>
      <c r="E471" s="139">
        <v>0</v>
      </c>
      <c r="F471" s="100">
        <v>0</v>
      </c>
      <c r="G471" s="100">
        <v>0</v>
      </c>
      <c r="H471" s="100">
        <v>1003.85</v>
      </c>
      <c r="I471" s="100"/>
    </row>
    <row r="472" spans="1:12" x14ac:dyDescent="0.25">
      <c r="H472" s="85"/>
    </row>
    <row r="473" spans="1:12" x14ac:dyDescent="0.25">
      <c r="A473" s="97" t="s">
        <v>240</v>
      </c>
      <c r="B473" s="97"/>
      <c r="C473" s="97"/>
      <c r="D473" s="97"/>
      <c r="E473" s="127" t="s">
        <v>241</v>
      </c>
      <c r="F473" s="97"/>
      <c r="G473" s="97"/>
      <c r="H473" s="154" t="s">
        <v>242</v>
      </c>
      <c r="I473" s="97"/>
    </row>
    <row r="474" spans="1:12" x14ac:dyDescent="0.25">
      <c r="A474" s="97" t="s">
        <v>243</v>
      </c>
      <c r="B474" s="97"/>
      <c r="C474" s="97"/>
      <c r="D474" s="97"/>
      <c r="E474" s="127" t="s">
        <v>244</v>
      </c>
      <c r="F474" s="97"/>
      <c r="G474" s="97"/>
      <c r="H474" s="154" t="s">
        <v>245</v>
      </c>
      <c r="I474" s="97"/>
    </row>
    <row r="475" spans="1:12" x14ac:dyDescent="0.25">
      <c r="A475" t="s">
        <v>441</v>
      </c>
      <c r="H475" s="85"/>
    </row>
    <row r="476" spans="1:12" x14ac:dyDescent="0.25">
      <c r="H476" s="85"/>
    </row>
    <row r="477" spans="1:12" x14ac:dyDescent="0.25">
      <c r="H477" s="85"/>
    </row>
    <row r="478" spans="1:12" x14ac:dyDescent="0.25">
      <c r="H478" s="85"/>
    </row>
    <row r="479" spans="1:12" x14ac:dyDescent="0.25">
      <c r="A479" s="82">
        <v>31</v>
      </c>
      <c r="D479" s="82" t="s">
        <v>23</v>
      </c>
      <c r="E479" s="128" t="e">
        <f>SUMIF($A$6:$A$472,A479,$E$6:$F$472)</f>
        <v>#DIV/0!</v>
      </c>
      <c r="F479" s="41">
        <f>SUMIF($A$6:$A$472,A479,$F$6:$F$472)</f>
        <v>570692.99</v>
      </c>
      <c r="G479" s="41">
        <f>SUMIF($A$6:$A$472,A479,$G$6:$G$472)</f>
        <v>1643297.79</v>
      </c>
      <c r="H479" s="155">
        <f>SUMIF($A$6:$A$472,A479,$H$6:$H$472)</f>
        <v>756355.41</v>
      </c>
      <c r="I479" s="41" t="e">
        <f>SUMIF($A$6:$A$472,A479,$I$6:$I$472)</f>
        <v>#DIV/0!</v>
      </c>
      <c r="K479">
        <v>6596544.8238980798</v>
      </c>
      <c r="L479">
        <v>6619812.7095361296</v>
      </c>
    </row>
    <row r="480" spans="1:12" x14ac:dyDescent="0.25">
      <c r="A480" s="82">
        <v>32</v>
      </c>
      <c r="D480" s="82" t="s">
        <v>36</v>
      </c>
      <c r="E480" s="128" t="e">
        <f>SUMIF($A$6:$A$472,A480,$E$6:$E$472)</f>
        <v>#DIV/0!</v>
      </c>
      <c r="F480" s="41">
        <f>SUMIF($A$6:$A$472,A480,$F$6:$F$472)</f>
        <v>125408.64</v>
      </c>
      <c r="G480" s="41">
        <f>SUMIF($A$6:$A$472,A480,$G$6:$G$472)</f>
        <v>280303.12</v>
      </c>
      <c r="H480" s="155">
        <f>SUMIF($A$6:$A$472,A480,$H$6:$H$472)</f>
        <v>136862.32</v>
      </c>
      <c r="I480" s="41" t="e">
        <f>SUMIF($A$6:$A$472,A480,$I$6:$I$472)</f>
        <v>#DIV/0!</v>
      </c>
      <c r="K480" s="41" t="e">
        <f>I480-H480</f>
        <v>#DIV/0!</v>
      </c>
    </row>
    <row r="481" spans="1:9" x14ac:dyDescent="0.25">
      <c r="A481" s="82">
        <v>34</v>
      </c>
      <c r="D481" s="82" t="s">
        <v>98</v>
      </c>
      <c r="E481" s="128">
        <f>SUMIF($A$6:$A$472,A481,$E$6:$E$472)</f>
        <v>4602.04</v>
      </c>
      <c r="F481" s="41">
        <f>SUMIF($A$6:$A$472,A481,$F$6:$F$472)</f>
        <v>842.29</v>
      </c>
      <c r="G481" s="41">
        <f>SUMIF($A$6:$A$472,A481,$G$6:$G$472)</f>
        <v>1040</v>
      </c>
      <c r="H481" s="155">
        <f>SUMIF($A$6:$A$472,A481,$H$6:$H$472)</f>
        <v>494.46</v>
      </c>
      <c r="I481" s="41">
        <f>SUMIF($A$6:$A$472,A481,$I$6:$I$472)</f>
        <v>52.42</v>
      </c>
    </row>
    <row r="482" spans="1:9" x14ac:dyDescent="0.25">
      <c r="A482" s="82">
        <v>37</v>
      </c>
      <c r="D482" s="82" t="s">
        <v>164</v>
      </c>
      <c r="E482" s="128">
        <f>SUMIF($A$6:$A$472,A482,$E$6:$E$472)</f>
        <v>3098.03</v>
      </c>
      <c r="F482" s="41">
        <f>SUMIF($A$6:$A$472,A482,$F$6:$F$472)</f>
        <v>1567.39</v>
      </c>
      <c r="G482" s="41">
        <f>SUMIF($A$6:$A$472,A482,$G$6:$G$472)</f>
        <v>1000</v>
      </c>
      <c r="H482" s="155">
        <f>SUMIF($A$6:$A$472,A482,$H$6:$H$472)</f>
        <v>0</v>
      </c>
      <c r="I482" s="41">
        <f>SUMIF($A$6:$A$472,A482,$I$6:$I$472)</f>
        <v>0</v>
      </c>
    </row>
    <row r="483" spans="1:9" x14ac:dyDescent="0.25">
      <c r="A483" s="82">
        <v>38</v>
      </c>
      <c r="D483" s="82" t="s">
        <v>103</v>
      </c>
      <c r="E483" s="128">
        <f>SUMIF($A$6:$A$472,A483,$E$6:$E$472)</f>
        <v>0</v>
      </c>
      <c r="F483" s="41">
        <f>SUMIF($A$6:$A$472,A483,$F$6:$F$472)</f>
        <v>0</v>
      </c>
      <c r="G483" s="41">
        <f>SUMIF($A$6:$A$472,A483,$G$6:$G$472)</f>
        <v>0</v>
      </c>
      <c r="H483" s="155">
        <f>SUMIF($A$6:$A$472,A483,$H$6:$H$472)</f>
        <v>1003.85</v>
      </c>
      <c r="I483" s="41" t="e">
        <f>SUMIF($A$6:$A$472,A483,$I$6:$I$472)</f>
        <v>#DIV/0!</v>
      </c>
    </row>
    <row r="484" spans="1:9" x14ac:dyDescent="0.25">
      <c r="A484" s="82">
        <v>42</v>
      </c>
      <c r="D484" s="82" t="s">
        <v>165</v>
      </c>
      <c r="E484" s="128" t="e">
        <f>SUMIF($A$6:$A$472,A484,$E$6:$E$472)</f>
        <v>#DIV/0!</v>
      </c>
      <c r="F484" s="41">
        <f>SUMIF($A$6:$A$472,A484,$F$6:$F$472)</f>
        <v>50.22</v>
      </c>
      <c r="G484" s="41">
        <f>SUMIF($A$6:$A$472,A484,$G$6:$G$472)</f>
        <v>40971.53</v>
      </c>
      <c r="H484" s="155">
        <f>SUMIF($A$6:$A$472,A484,$H$6:$H$472)</f>
        <v>26617.279999999999</v>
      </c>
      <c r="I484" s="41">
        <f>SUMIF($A$6:$A$472,A484,$I$6:$I$472)</f>
        <v>445.04</v>
      </c>
    </row>
    <row r="485" spans="1:9" x14ac:dyDescent="0.25">
      <c r="A485" s="82">
        <v>45</v>
      </c>
      <c r="D485" s="82" t="s">
        <v>165</v>
      </c>
      <c r="E485" s="128">
        <f>SUMIF($A$6:$A$472,A485,$E$6:$E$472)</f>
        <v>32185.279999999999</v>
      </c>
      <c r="F485" s="41">
        <f>SUMIF($A$6:$A$472,A485,$F$6:$F$472)</f>
        <v>0</v>
      </c>
      <c r="G485" s="41">
        <f>SUMIF($A$6:$A$472,A485,$G$6:$G$472)</f>
        <v>1125</v>
      </c>
      <c r="H485" s="155">
        <f>SUMIF($A$6:$A$472,A485,$H$6:$H$472)</f>
        <v>1125</v>
      </c>
      <c r="I485" s="41">
        <f>SUMIF($A$6:$A$472,A485,$I$6:$I$472)</f>
        <v>100</v>
      </c>
    </row>
    <row r="486" spans="1:9" x14ac:dyDescent="0.25">
      <c r="D486" s="84" t="s">
        <v>233</v>
      </c>
      <c r="E486" s="143" t="e">
        <f>SUM(E479:E485)</f>
        <v>#DIV/0!</v>
      </c>
      <c r="F486" s="95">
        <f>SUM(F479:F485)</f>
        <v>698561.53</v>
      </c>
      <c r="G486" s="95">
        <f>SUM(G479:G485)</f>
        <v>1967737.44</v>
      </c>
      <c r="H486" s="95">
        <f>SUM(H479:H485)</f>
        <v>922458.32</v>
      </c>
      <c r="I486" s="95" t="e">
        <f t="shared" ref="I486" si="357">SUM(I479:I485)</f>
        <v>#DIV/0!</v>
      </c>
    </row>
    <row r="487" spans="1:9" x14ac:dyDescent="0.25">
      <c r="A487" s="82" t="s">
        <v>137</v>
      </c>
      <c r="E487" s="128">
        <f>SUMIF($A$6:$A$472,A487,$E$6:$E$472)</f>
        <v>3098.03</v>
      </c>
      <c r="F487" s="96">
        <f>SUMIF($A$6:$A$472,A487,$F$6:$F$472)</f>
        <v>1567.39</v>
      </c>
      <c r="G487" s="96">
        <f>SUMIF($A$6:$A$472,A487,$G$6:$G$472)</f>
        <v>1000</v>
      </c>
      <c r="H487" s="156">
        <f>SUMIF($A$6:$A$472,A487,$H$6:$H$472)</f>
        <v>0</v>
      </c>
      <c r="I487" s="96">
        <f>SUMIF($A$6:$A$472,A487,$I$6:$I$472)</f>
        <v>0</v>
      </c>
    </row>
    <row r="488" spans="1:9" x14ac:dyDescent="0.25">
      <c r="A488" s="82" t="s">
        <v>118</v>
      </c>
      <c r="E488" s="128" t="e">
        <f>SUMIF($A$6:$A$472,A488,$E$6:$E$472)</f>
        <v>#DIV/0!</v>
      </c>
      <c r="F488" s="96">
        <f>SUMIF($A$6:$A$472,A488,$F$6:$F$472)</f>
        <v>21592.28</v>
      </c>
      <c r="G488" s="96">
        <f>SUMIF($A$6:$A$472,A488,$G$6:$G$472)</f>
        <v>56996</v>
      </c>
      <c r="H488" s="156">
        <f>SUMIF($A$6:$A$472,A488,$H$6:$H$472)</f>
        <v>40488.5</v>
      </c>
      <c r="I488" s="96" t="e">
        <f>SUMIF($A$6:$A$472,A488,$I$6:$I$472)</f>
        <v>#DIV/0!</v>
      </c>
    </row>
    <row r="489" spans="1:9" x14ac:dyDescent="0.25">
      <c r="A489" s="82" t="s">
        <v>124</v>
      </c>
      <c r="E489" s="128" t="e">
        <f>SUMIF($A$6:$A$472,A489,$E$6:$E$472)</f>
        <v>#DIV/0!</v>
      </c>
      <c r="F489" s="96">
        <f>SUMIF($A$6:$A$472,A489,$F$6:$F$472)</f>
        <v>7918.47</v>
      </c>
      <c r="G489" s="96">
        <f>SUMIF($A$6:$A$472,A489,$G$6:$G$472)</f>
        <v>49009.5</v>
      </c>
      <c r="H489" s="156">
        <f>SUMIF($A$6:$A$472,A489,$H$6:$H$472)</f>
        <v>27759.82</v>
      </c>
      <c r="I489" s="96" t="e">
        <f>SUMIF($A$6:$A$472,A489,$I$6:$I$472)</f>
        <v>#DIV/0!</v>
      </c>
    </row>
    <row r="490" spans="1:9" x14ac:dyDescent="0.25">
      <c r="A490" s="82" t="s">
        <v>237</v>
      </c>
      <c r="E490" s="128" t="e">
        <f>SUMIF($A$6:$A$472,A490,$E$6:$E$472)</f>
        <v>#DIV/0!</v>
      </c>
      <c r="F490" s="96">
        <f>SUMIF($A$6:$A$472,A490,$F$6:$F$472)</f>
        <v>22050.67</v>
      </c>
      <c r="G490" s="96">
        <f>SUMIF($A$6:$A$472,A490,$G$6:$G$472)</f>
        <v>69204.03</v>
      </c>
      <c r="H490" s="156">
        <f>SUMIF($A$6:$A$472,A490,$H$6:$H$472)</f>
        <v>35802.629999999997</v>
      </c>
      <c r="I490" s="96" t="e">
        <f>SUMIF($A$6:$A$472,A490,$I$6:$I$472)</f>
        <v>#DIV/0!</v>
      </c>
    </row>
    <row r="491" spans="1:9" x14ac:dyDescent="0.25">
      <c r="A491" s="82" t="s">
        <v>133</v>
      </c>
      <c r="E491" s="128" t="e">
        <f>SUMIF($A$6:$A$472,A491,$E$6:$E$472)</f>
        <v>#DIV/0!</v>
      </c>
      <c r="F491" s="96">
        <f>SUMIF($A$6:$A$472,A491,$F$6:$F$472)</f>
        <v>595.95000000000005</v>
      </c>
      <c r="G491" s="96">
        <f>SUMIF($A$6:$A$472,A491,$G$6:$G$472)</f>
        <v>7562.06</v>
      </c>
      <c r="H491" s="156">
        <f>SUMIF($A$6:$A$472,A491,$H$6:$H$472)</f>
        <v>1324.11</v>
      </c>
      <c r="I491" s="96">
        <f>SUMIF($A$6:$A$472,A491,$I$6:$I$472)</f>
        <v>127.51</v>
      </c>
    </row>
    <row r="492" spans="1:9" x14ac:dyDescent="0.25">
      <c r="A492" s="82" t="s">
        <v>140</v>
      </c>
      <c r="E492" s="128">
        <f>SUMIF($A$6:$A$472,A492,$E$6:$E$472)</f>
        <v>0</v>
      </c>
      <c r="F492" s="96">
        <f>SUMIF($A$6:$A$472,A492,$F$6:$F$472)</f>
        <v>0</v>
      </c>
      <c r="G492" s="96">
        <f>SUMIF($A$6:$A$472,A492,$G$6:$G$472)</f>
        <v>0</v>
      </c>
      <c r="H492" s="156">
        <f>SUMIF($A$6:$A$472,A492,$H$6:$H$472)</f>
        <v>0</v>
      </c>
      <c r="I492" s="96">
        <f>SUMIF($A$6:$A$472,A492,$I$6:$I$472)</f>
        <v>0</v>
      </c>
    </row>
    <row r="493" spans="1:9" x14ac:dyDescent="0.25">
      <c r="A493" s="82" t="s">
        <v>142</v>
      </c>
      <c r="E493" s="128" t="e">
        <f>SUMIF($A$6:$A$472,A493,$E$6:$E$472)</f>
        <v>#DIV/0!</v>
      </c>
      <c r="F493" s="96">
        <f>SUMIF($A$6:$A$472,A493,$F$6:$F$472)</f>
        <v>10481.81</v>
      </c>
      <c r="G493" s="96">
        <f>SUMIF($A$6:$A$472,A493,$G$6:$G$472)</f>
        <v>21460</v>
      </c>
      <c r="H493" s="156">
        <f>SUMIF($A$6:$A$472,A493,$H$6:$H$472)</f>
        <v>9036.25</v>
      </c>
      <c r="I493" s="96">
        <f>SUMIF($A$6:$A$472,A493,$I$6:$I$472)</f>
        <v>49.32</v>
      </c>
    </row>
    <row r="494" spans="1:9" x14ac:dyDescent="0.25">
      <c r="A494" s="82" t="s">
        <v>144</v>
      </c>
      <c r="E494" s="128" t="e">
        <f>SUMIF($A$6:$A$472,A494,$E$6:$E$472)</f>
        <v>#DIV/0!</v>
      </c>
      <c r="F494" s="96">
        <f>SUMIF($A$6:$A$472,A494,$F$6:$F$472)</f>
        <v>634354.96</v>
      </c>
      <c r="G494" s="96">
        <f>SUMIF($A$6:$A$472,A494,$G$6:$G$472)</f>
        <v>1753393.35</v>
      </c>
      <c r="H494" s="156">
        <f>SUMIF($A$6:$A$472,A494,$H$6:$H$472)</f>
        <v>798899.95</v>
      </c>
      <c r="I494" s="96">
        <f>SUMIF($A$6:$A$472,A494,$I$6:$I$472)</f>
        <v>240.62</v>
      </c>
    </row>
    <row r="495" spans="1:9" x14ac:dyDescent="0.25">
      <c r="A495" s="82" t="s">
        <v>226</v>
      </c>
      <c r="E495" s="128">
        <f>SUMIF($A$6:$A$472,A495,$E$6:$E$472)</f>
        <v>530.89</v>
      </c>
      <c r="F495" s="96">
        <f>SUMIF($A$6:$A$472,A495,$F$6:$F$472)</f>
        <v>0</v>
      </c>
      <c r="G495" s="96">
        <f>SUMIF($A$6:$A$472,A495,$G$6:$G$472)</f>
        <v>5800</v>
      </c>
      <c r="H495" s="156">
        <f>SUMIF($A$6:$A$472,A495,$H$6:$H$472)</f>
        <v>5834.56</v>
      </c>
      <c r="I495" s="96">
        <f>SUMIF($A$6:$A$472,A495,$I$6:$I$472)</f>
        <v>100.6</v>
      </c>
    </row>
    <row r="496" spans="1:9" x14ac:dyDescent="0.25">
      <c r="A496" s="85" t="s">
        <v>427</v>
      </c>
      <c r="E496" s="128">
        <f>SUMIF($A$6:$A$472,A496,$E$6:$E$472)</f>
        <v>2.1</v>
      </c>
      <c r="F496" s="96">
        <f>SUMIF($A$6:$A$472,A496,$F$6:$F$472)</f>
        <v>0</v>
      </c>
      <c r="G496" s="96">
        <f>SUMIF($A$6:$A$472,A496,$G$6:$G$472)</f>
        <v>3312.5</v>
      </c>
      <c r="H496" s="156">
        <f>SUMIF($A$6:$A$472,A496,$H$6:$H$472)</f>
        <v>3312.5</v>
      </c>
      <c r="I496" s="96">
        <f>SUMIF($A$6:$A$472,A496,$I$6:$I$472)</f>
        <v>100</v>
      </c>
    </row>
    <row r="497" spans="1:9" x14ac:dyDescent="0.25">
      <c r="A497" s="85" t="s">
        <v>202</v>
      </c>
      <c r="E497" s="128">
        <f>SUMIF($A$6:$A$472,A497,$E$6:$E$472)</f>
        <v>0</v>
      </c>
      <c r="F497" s="96">
        <f>SUMIF($A$6:$A$472,A497,$F$6:$F$472)</f>
        <v>0</v>
      </c>
      <c r="G497" s="96">
        <f>SUMIF($A$6:$A$472,A497,$G$6:$G$472)</f>
        <v>0</v>
      </c>
      <c r="H497" s="156">
        <f>SUMIF($A$6:$A$472,A497,$H$6:$H$472)</f>
        <v>0</v>
      </c>
      <c r="I497" s="96">
        <f>SUMIF($A$6:$A$472,A497,$I$6:$I$472)</f>
        <v>0</v>
      </c>
    </row>
    <row r="498" spans="1:9" x14ac:dyDescent="0.25">
      <c r="G498" s="83">
        <v>0</v>
      </c>
      <c r="H498" s="157">
        <v>0</v>
      </c>
      <c r="I498" s="83">
        <v>0</v>
      </c>
    </row>
    <row r="499" spans="1:9" x14ac:dyDescent="0.25">
      <c r="D499" s="84" t="s">
        <v>234</v>
      </c>
      <c r="E499" s="143" t="e">
        <f>SUM(E487:E497)</f>
        <v>#DIV/0!</v>
      </c>
      <c r="F499" s="95">
        <f>SUM(F487:F498)</f>
        <v>698561.53</v>
      </c>
      <c r="G499" s="95">
        <f t="shared" ref="G499:I499" si="358">SUM(G487:G498)</f>
        <v>1967737.44</v>
      </c>
      <c r="H499" s="95">
        <f t="shared" si="358"/>
        <v>922458.32</v>
      </c>
      <c r="I499" s="95" t="e">
        <f t="shared" si="358"/>
        <v>#DIV/0!</v>
      </c>
    </row>
    <row r="500" spans="1:9" x14ac:dyDescent="0.25">
      <c r="G500" s="83"/>
      <c r="H500" s="85"/>
    </row>
    <row r="501" spans="1:9" x14ac:dyDescent="0.25">
      <c r="G501" s="83"/>
      <c r="H501" s="85"/>
    </row>
    <row r="502" spans="1:9" x14ac:dyDescent="0.25">
      <c r="A502" s="82" t="s">
        <v>137</v>
      </c>
      <c r="D502" s="82" t="s">
        <v>23</v>
      </c>
      <c r="E502" s="128">
        <v>0</v>
      </c>
      <c r="F502" s="83"/>
      <c r="G502" s="83"/>
      <c r="H502" s="85"/>
    </row>
    <row r="503" spans="1:9" x14ac:dyDescent="0.25">
      <c r="A503" s="82" t="s">
        <v>137</v>
      </c>
      <c r="D503" s="82" t="s">
        <v>36</v>
      </c>
      <c r="E503" s="128">
        <v>0</v>
      </c>
      <c r="G503" s="83"/>
      <c r="H503" s="85"/>
    </row>
    <row r="504" spans="1:9" x14ac:dyDescent="0.25">
      <c r="A504" s="82" t="s">
        <v>137</v>
      </c>
      <c r="D504" s="82" t="s">
        <v>98</v>
      </c>
      <c r="E504" s="128">
        <v>0</v>
      </c>
      <c r="G504" s="83"/>
      <c r="H504" s="85"/>
    </row>
    <row r="505" spans="1:9" x14ac:dyDescent="0.25">
      <c r="A505" s="82" t="s">
        <v>137</v>
      </c>
      <c r="D505" s="82" t="s">
        <v>164</v>
      </c>
      <c r="E505" s="128">
        <v>0</v>
      </c>
      <c r="H505" s="85"/>
    </row>
    <row r="506" spans="1:9" x14ac:dyDescent="0.25">
      <c r="A506" s="82" t="s">
        <v>137</v>
      </c>
      <c r="D506" s="82" t="s">
        <v>103</v>
      </c>
      <c r="E506" s="128">
        <v>0</v>
      </c>
      <c r="H506" s="85"/>
    </row>
    <row r="507" spans="1:9" x14ac:dyDescent="0.25">
      <c r="A507" s="82" t="s">
        <v>137</v>
      </c>
      <c r="D507" s="82" t="s">
        <v>165</v>
      </c>
      <c r="E507" s="128">
        <v>0</v>
      </c>
      <c r="H507" s="85"/>
    </row>
    <row r="508" spans="1:9" x14ac:dyDescent="0.25">
      <c r="E508" s="128"/>
      <c r="H508" s="85"/>
    </row>
    <row r="509" spans="1:9" x14ac:dyDescent="0.25">
      <c r="A509" s="82" t="s">
        <v>118</v>
      </c>
      <c r="D509" s="82" t="s">
        <v>23</v>
      </c>
      <c r="E509" s="128">
        <v>0</v>
      </c>
      <c r="H509" s="85"/>
    </row>
    <row r="510" spans="1:9" x14ac:dyDescent="0.25">
      <c r="A510" s="82" t="s">
        <v>118</v>
      </c>
      <c r="D510" s="82" t="s">
        <v>36</v>
      </c>
      <c r="E510" s="128">
        <v>0</v>
      </c>
      <c r="H510" s="85"/>
    </row>
    <row r="511" spans="1:9" x14ac:dyDescent="0.25">
      <c r="A511" s="82" t="s">
        <v>118</v>
      </c>
      <c r="D511" s="82" t="s">
        <v>98</v>
      </c>
      <c r="E511" s="128">
        <v>0</v>
      </c>
      <c r="H511" s="85"/>
    </row>
    <row r="512" spans="1:9" x14ac:dyDescent="0.25">
      <c r="A512" s="82" t="s">
        <v>118</v>
      </c>
      <c r="D512" s="82" t="s">
        <v>164</v>
      </c>
      <c r="E512" s="128">
        <v>0</v>
      </c>
      <c r="H512" s="85"/>
    </row>
    <row r="513" spans="1:12" x14ac:dyDescent="0.25">
      <c r="A513" s="82" t="s">
        <v>118</v>
      </c>
      <c r="D513" s="82" t="s">
        <v>103</v>
      </c>
      <c r="E513" s="128">
        <v>0</v>
      </c>
      <c r="H513" s="85"/>
    </row>
    <row r="514" spans="1:12" x14ac:dyDescent="0.25">
      <c r="A514" s="82" t="s">
        <v>118</v>
      </c>
      <c r="D514" s="82" t="s">
        <v>165</v>
      </c>
      <c r="E514" s="128">
        <v>0</v>
      </c>
      <c r="H514" s="85"/>
    </row>
    <row r="515" spans="1:12" x14ac:dyDescent="0.25">
      <c r="E515" s="128"/>
      <c r="H515" s="85"/>
    </row>
    <row r="516" spans="1:12" x14ac:dyDescent="0.25">
      <c r="H516" s="85"/>
    </row>
    <row r="517" spans="1:12" x14ac:dyDescent="0.25">
      <c r="A517" s="82">
        <v>3211</v>
      </c>
      <c r="E517" s="128"/>
      <c r="F517" s="41"/>
      <c r="G517" s="129">
        <f>SUMIF($A$6:$A$472,A517,$G$6:$G$472)</f>
        <v>5608.75</v>
      </c>
      <c r="H517" s="155">
        <f>SUMIF($A$6:$A$472,A517,$H$6:$H$472)</f>
        <v>4522.1000000000004</v>
      </c>
      <c r="I517" s="41">
        <f>SUMIF($A$6:$A$472,A517,$I$6:$I$472)</f>
        <v>0</v>
      </c>
      <c r="K517">
        <v>6596544.8238980798</v>
      </c>
      <c r="L517">
        <v>6619812.7095361296</v>
      </c>
    </row>
    <row r="518" spans="1:12" x14ac:dyDescent="0.25">
      <c r="A518" s="82">
        <v>3213</v>
      </c>
      <c r="E518" s="128"/>
      <c r="F518" s="41"/>
      <c r="G518" s="129">
        <f>SUMIF($A$6:$A$472,A518,$G$6:$G$472)</f>
        <v>1150</v>
      </c>
      <c r="H518" s="158">
        <f>SUMIF($A$6:$A$472,A518,$H$6:$H$472)</f>
        <v>330</v>
      </c>
      <c r="I518" s="128">
        <f>SUMIF($A$6:$A$472,A518,$I$6:$I$472)</f>
        <v>0</v>
      </c>
      <c r="K518" s="41">
        <f>I518-H518</f>
        <v>-330</v>
      </c>
    </row>
    <row r="519" spans="1:12" x14ac:dyDescent="0.25">
      <c r="A519" s="82">
        <v>3214</v>
      </c>
      <c r="E519" s="128"/>
      <c r="F519" s="41"/>
      <c r="G519" s="128">
        <f>SUMIF($A$6:$A$472,A519,$G$6:$G$472)</f>
        <v>1100</v>
      </c>
      <c r="H519" s="158">
        <f>SUMIF($A$6:$A$472,A519,$H$6:$H$472)</f>
        <v>852.54</v>
      </c>
      <c r="I519" s="128">
        <f>SUMIF($A$6:$A$472,A519,$I$6:$I$472)</f>
        <v>0</v>
      </c>
    </row>
    <row r="520" spans="1:12" x14ac:dyDescent="0.25">
      <c r="A520" s="82">
        <v>3221</v>
      </c>
      <c r="E520" s="128"/>
      <c r="F520" s="41"/>
      <c r="G520" s="129">
        <f>SUMIF($A$6:$A$472,A520,$G$6:$G$472)</f>
        <v>35506.910000000003</v>
      </c>
      <c r="H520" s="158">
        <f>SUMIF($A$6:$A$472,A520,$H$6:$H$472)</f>
        <v>5942.33</v>
      </c>
      <c r="I520" s="128">
        <f>SUMIF($A$6:$A$472,A520,$I$6:$I$472)</f>
        <v>0</v>
      </c>
    </row>
    <row r="521" spans="1:12" x14ac:dyDescent="0.25">
      <c r="A521" s="82">
        <v>3222</v>
      </c>
      <c r="E521" s="128"/>
      <c r="F521" s="41"/>
      <c r="G521" s="129">
        <f>SUMIF($A$6:$A$472,A521,$G$6:$G$472)</f>
        <v>111525.5</v>
      </c>
      <c r="H521" s="158">
        <f>SUMIF($A$6:$A$472,A521,$H$6:$H$472)</f>
        <v>54737.08</v>
      </c>
      <c r="I521" s="128">
        <f>SUMIF($A$6:$A$472,A521,$I$6:$I$472)</f>
        <v>0</v>
      </c>
    </row>
    <row r="522" spans="1:12" x14ac:dyDescent="0.25">
      <c r="A522" s="82">
        <v>3223</v>
      </c>
      <c r="E522" s="128"/>
      <c r="F522" s="41"/>
      <c r="G522" s="129">
        <f>SUMIF($A$6:$A$472,A522,$G$6:$G$472)</f>
        <v>12568</v>
      </c>
      <c r="H522" s="158">
        <f>SUMIF($A$6:$A$472,A522,$H$6:$H$472)</f>
        <v>12411.09</v>
      </c>
      <c r="I522" s="128">
        <f>SUMIF($A$6:$A$472,A522,$I$6:$I$472)</f>
        <v>0</v>
      </c>
    </row>
    <row r="523" spans="1:12" x14ac:dyDescent="0.25">
      <c r="A523" s="82">
        <v>3224</v>
      </c>
      <c r="E523" s="128"/>
      <c r="F523" s="41"/>
      <c r="G523" s="129">
        <f>SUMIF($A$6:$A$472,A523,$G$6:$G$472)</f>
        <v>3300</v>
      </c>
      <c r="H523" s="158">
        <f>SUMIF($A$6:$A$472,A523,$H$6:$H$472)</f>
        <v>472.63</v>
      </c>
      <c r="I523" s="128">
        <f>SUMIF($A$6:$A$472,A523,$I$6:$I$472)</f>
        <v>0</v>
      </c>
    </row>
    <row r="524" spans="1:12" x14ac:dyDescent="0.25">
      <c r="A524" s="82">
        <v>3225</v>
      </c>
      <c r="E524" s="128"/>
      <c r="F524" s="41"/>
      <c r="G524" s="129">
        <f>SUMIF($A$6:$A$472,A524,$G$6:$G$472)</f>
        <v>1900</v>
      </c>
      <c r="H524" s="158">
        <f>SUMIF($A$6:$A$472,A524,$H$6:$H$472)</f>
        <v>107.03</v>
      </c>
      <c r="I524" s="128">
        <f>SUMIF($A$6:$A$472,A524,$I$6:$I$472)</f>
        <v>0</v>
      </c>
    </row>
    <row r="525" spans="1:12" x14ac:dyDescent="0.25">
      <c r="A525" s="82">
        <v>3227</v>
      </c>
      <c r="E525" s="128"/>
      <c r="F525" s="41"/>
      <c r="G525" s="129">
        <f>SUMIF($A$6:$A$472,A525,$G$6:$G$472)</f>
        <v>900</v>
      </c>
      <c r="H525" s="158">
        <f>SUMIF($A$6:$A$472,A525,$H$6:$H$472)</f>
        <v>577.74</v>
      </c>
      <c r="I525" s="128">
        <f>SUMIF($A$6:$A$472,A525,$I$6:$I$472)</f>
        <v>0</v>
      </c>
    </row>
    <row r="526" spans="1:12" x14ac:dyDescent="0.25">
      <c r="A526" s="82">
        <v>3231</v>
      </c>
      <c r="G526" s="130">
        <f>SUMIF($A$6:$A$472,A526,$G$6:$G$472)</f>
        <v>18920</v>
      </c>
      <c r="H526" s="159">
        <f>SUMIF($A$6:$A$472,A526,$H$6:$H$472)</f>
        <v>10186.540000000001</v>
      </c>
      <c r="I526" s="127">
        <f>SUMIF($A$6:$A$472,A526,$I$6:$I$472)</f>
        <v>0</v>
      </c>
    </row>
    <row r="527" spans="1:12" x14ac:dyDescent="0.25">
      <c r="A527" s="82">
        <v>3232</v>
      </c>
      <c r="G527" s="130">
        <f>SUMIF($A$6:$A$472,A527,$G$6:$G$472)</f>
        <v>19142.849999999999</v>
      </c>
      <c r="H527" s="159">
        <f>SUMIF($A$6:$A$472,A527,$H$6:$H$472)</f>
        <v>5118.67</v>
      </c>
      <c r="I527" s="127">
        <f>SUMIF($A$6:$A$472,A527,$I$6:$I$472)</f>
        <v>0</v>
      </c>
    </row>
    <row r="528" spans="1:12" x14ac:dyDescent="0.25">
      <c r="A528" s="82">
        <v>3233</v>
      </c>
      <c r="G528" s="82">
        <f>SUMIF($A$6:$A$472,A528,$G$6:$G$472)</f>
        <v>10</v>
      </c>
      <c r="H528" s="159">
        <f>SUMIF($A$6:$A$472,A528,$H$6:$H$472)</f>
        <v>0</v>
      </c>
      <c r="I528" s="127">
        <f>SUMIF($A$6:$A$472,A528,$I$6:$I$472)</f>
        <v>0</v>
      </c>
    </row>
    <row r="529" spans="1:9" x14ac:dyDescent="0.25">
      <c r="A529" s="82">
        <v>3234</v>
      </c>
      <c r="G529" s="131">
        <f>SUMIF($A$6:$A$472,A529,$G$6:$G$472)</f>
        <v>3700</v>
      </c>
      <c r="H529" s="159">
        <f>SUMIF($A$6:$A$472,A529,$H$6:$H$472)</f>
        <v>2064.7600000000002</v>
      </c>
      <c r="I529" s="127">
        <f>SUMIF($A$6:$A$472,A529,$I$6:$I$472)</f>
        <v>0</v>
      </c>
    </row>
    <row r="530" spans="1:9" x14ac:dyDescent="0.25">
      <c r="A530" s="82">
        <v>3235</v>
      </c>
      <c r="G530" s="131">
        <f>SUMIF($A$6:$A$472,A530,$G$6:$G$472)</f>
        <v>5720</v>
      </c>
      <c r="H530" s="159">
        <f>SUMIF($A$6:$A$472,A530,$H$6:$H$472)</f>
        <v>3737.49</v>
      </c>
      <c r="I530" s="127">
        <f>SUMIF($A$6:$A$472,A530,$I$6:$I$472)</f>
        <v>0</v>
      </c>
    </row>
    <row r="531" spans="1:9" x14ac:dyDescent="0.25">
      <c r="A531" s="82">
        <v>3236</v>
      </c>
      <c r="G531" s="131">
        <f>SUMIF($A$6:$A$472,A531,$G$6:$G$472)</f>
        <v>4450</v>
      </c>
      <c r="H531" s="159">
        <f>SUMIF($A$6:$A$472,A531,$H$6:$H$472)</f>
        <v>3805.73</v>
      </c>
      <c r="I531" s="127">
        <f>SUMIF($A$6:$A$472,A531,$I$6:$I$472)</f>
        <v>0</v>
      </c>
    </row>
    <row r="532" spans="1:9" x14ac:dyDescent="0.25">
      <c r="A532" s="82">
        <v>3237</v>
      </c>
      <c r="G532" s="131">
        <f>SUMIF($A$6:$A$472,A532,$G$6:$G$472)</f>
        <v>400</v>
      </c>
      <c r="H532" s="159">
        <f>SUMIF($A$6:$A$472,A532,$H$6:$H$472)</f>
        <v>62.5</v>
      </c>
      <c r="I532" s="127">
        <f>SUMIF($A$6:$A$472,A532,$I$6:$I$472)</f>
        <v>0</v>
      </c>
    </row>
    <row r="533" spans="1:9" x14ac:dyDescent="0.25">
      <c r="A533" s="82">
        <v>3238</v>
      </c>
      <c r="G533" s="131">
        <f>SUMIF($A$6:$A$472,A533,$G$6:$G$472)</f>
        <v>3031</v>
      </c>
      <c r="H533" s="159">
        <f>SUMIF($A$6:$A$472,A533,$H$6:$H$472)</f>
        <v>1024.46</v>
      </c>
      <c r="I533" s="127">
        <f>SUMIF($A$6:$A$472,A533,$I$6:$I$472)</f>
        <v>0</v>
      </c>
    </row>
    <row r="534" spans="1:9" x14ac:dyDescent="0.25">
      <c r="A534" s="82">
        <v>3239</v>
      </c>
      <c r="G534" s="82">
        <f>SUMIF($A$6:$A$472,A534,$G$6:$G$472)</f>
        <v>2400</v>
      </c>
      <c r="H534" s="159">
        <f>SUMIF($A$6:$A$472,A534,$H$6:$H$472)</f>
        <v>325</v>
      </c>
      <c r="I534" s="127">
        <f>SUMIF($A$6:$A$472,A534,$I$6:$I$472)</f>
        <v>0</v>
      </c>
    </row>
    <row r="535" spans="1:9" x14ac:dyDescent="0.25">
      <c r="A535" s="82">
        <v>3293</v>
      </c>
      <c r="G535" s="131">
        <f>SUMIF($A$6:$A$472,A535,$G$6:$G$472)</f>
        <v>890</v>
      </c>
      <c r="H535" s="159">
        <f>SUMIF($A$6:$A$472,A535,$H$6:$H$472)</f>
        <v>217.3</v>
      </c>
      <c r="I535" s="127">
        <f>SUMIF($A$6:$A$472,A535,$I$6:$I$472)</f>
        <v>0</v>
      </c>
    </row>
    <row r="536" spans="1:9" x14ac:dyDescent="0.25">
      <c r="A536" s="82">
        <v>3294</v>
      </c>
      <c r="G536" s="131">
        <f>SUMIF($A$6:$A$472,A536,$G$6:$G$472)</f>
        <v>200</v>
      </c>
      <c r="H536" s="159">
        <f>SUMIF($A$6:$A$472,A536,$H$6:$H$472)</f>
        <v>143.09</v>
      </c>
      <c r="I536" s="127">
        <f>SUMIF($A$6:$A$472,A536,$I$6:$I$472)</f>
        <v>0</v>
      </c>
    </row>
    <row r="537" spans="1:9" s="127" customFormat="1" x14ac:dyDescent="0.25">
      <c r="A537" s="127">
        <v>3295</v>
      </c>
      <c r="G537" s="127">
        <f>SUMIF($A$6:$A$472,A537,$G$6:$G$472)</f>
        <v>4162</v>
      </c>
      <c r="H537" s="159">
        <f>SUMIF($A$6:$A$472,A537,$H$6:$H$472)</f>
        <v>2045.94</v>
      </c>
      <c r="I537" s="127">
        <f>SUMIF($A$6:$A$472,A537,$I$6:$I$472)</f>
        <v>0</v>
      </c>
    </row>
    <row r="538" spans="1:9" s="127" customFormat="1" x14ac:dyDescent="0.25">
      <c r="A538" s="127">
        <v>3296</v>
      </c>
      <c r="G538" s="127">
        <f>SUMIF($A$6:$A$472,A538,$G$6:$G$472)</f>
        <v>50</v>
      </c>
      <c r="H538" s="159">
        <f>SUMIF($A$6:$A$472,A538,$H$6:$H$472)</f>
        <v>0</v>
      </c>
      <c r="I538" s="127">
        <f>SUMIF($A$6:$A$472,A538,$I$6:$I$472)</f>
        <v>0</v>
      </c>
    </row>
    <row r="539" spans="1:9" x14ac:dyDescent="0.25">
      <c r="A539" s="82">
        <v>3299</v>
      </c>
      <c r="G539" s="130">
        <f>SUMIF($A$6:$A$472,A539,$G$6:$G$472)</f>
        <v>5466</v>
      </c>
      <c r="H539" s="159">
        <f>SUMIF($A$6:$A$472,A539,$H$6:$H$472)</f>
        <v>6317.19</v>
      </c>
      <c r="I539" s="127">
        <f>SUMIF($A$6:$A$472,A539,$I$6:$I$472)</f>
        <v>0</v>
      </c>
    </row>
    <row r="540" spans="1:9" x14ac:dyDescent="0.25">
      <c r="A540" s="82">
        <v>3431</v>
      </c>
      <c r="G540" s="130">
        <f>SUMIF($A$6:$A$472,A540,$G$6:$G$472)</f>
        <v>1000</v>
      </c>
      <c r="H540" s="159">
        <f>SUMIF($A$6:$A$472,A540,$H$6:$H$472)</f>
        <v>494.18</v>
      </c>
      <c r="I540" s="127">
        <f>SUMIF($A$6:$A$472,A540,$I$6:$I$472)</f>
        <v>0</v>
      </c>
    </row>
    <row r="541" spans="1:9" x14ac:dyDescent="0.25">
      <c r="A541" s="82">
        <v>3433</v>
      </c>
      <c r="G541" s="130">
        <f>SUMIF($A$6:$A$472,A541,$G$6:$G$472)</f>
        <v>40</v>
      </c>
      <c r="H541" s="159">
        <f>SUMIF($A$6:$A$472,A541,$H$6:$H$472)</f>
        <v>0.28000000000000003</v>
      </c>
      <c r="I541" s="127">
        <f>SUMIF($A$6:$A$472,A541,$I$6:$I$472)</f>
        <v>0</v>
      </c>
    </row>
    <row r="542" spans="1:9" x14ac:dyDescent="0.25">
      <c r="A542" s="82">
        <v>3224</v>
      </c>
      <c r="G542" s="130">
        <f>SUMIF($A$6:$A$472,A542,$G$6:$G$472)</f>
        <v>3300</v>
      </c>
      <c r="H542" s="159">
        <f>SUMIF($A$6:$A$472,A542,$H$6:$H$472)</f>
        <v>472.63</v>
      </c>
      <c r="I542" s="127">
        <f>SUMIF($A$6:$A$472,A542,$I$6:$I$472)</f>
        <v>0</v>
      </c>
    </row>
    <row r="543" spans="1:9" x14ac:dyDescent="0.25">
      <c r="A543" s="82">
        <v>3232</v>
      </c>
      <c r="G543" s="130">
        <f>SUMIF($A$6:$A$472,A543,$G$6:$G$472)</f>
        <v>19142.849999999999</v>
      </c>
      <c r="H543" s="159">
        <f>SUMIF($A$6:$A$472,A543,$H$6:$H$472)</f>
        <v>5118.67</v>
      </c>
      <c r="I543" s="127">
        <f>SUMIF($A$6:$A$472,A543,$I$6:$I$472)</f>
        <v>0</v>
      </c>
    </row>
    <row r="544" spans="1:9" s="127" customFormat="1" x14ac:dyDescent="0.25">
      <c r="A544" s="127">
        <v>3212</v>
      </c>
      <c r="G544" s="130">
        <f>SUMIF($A$6:$A$472,A544,$G$6:$G$472)-48400</f>
        <v>-12097.89</v>
      </c>
      <c r="H544" s="159">
        <f>SUMIF($A$6:$A$472,A544,$H$6:$H$472)</f>
        <v>21861.11</v>
      </c>
      <c r="I544" s="127">
        <f>SUMIF($A$6:$A$472,A544,$I$6:$I$472)</f>
        <v>0</v>
      </c>
    </row>
    <row r="545" spans="1:9" x14ac:dyDescent="0.25">
      <c r="A545" s="82">
        <v>4221</v>
      </c>
      <c r="G545" s="130">
        <f>SUMIF($A$6:$A$472,A545,$G$6:$G$472)</f>
        <v>14580.87</v>
      </c>
      <c r="H545" s="159">
        <f>SUMIF($A$6:$A$472,A545,$H$6:$H$472)</f>
        <v>4702.5600000000004</v>
      </c>
      <c r="I545" s="127">
        <f>SUMIF($A$6:$A$472,A545,$I$6:$I$472)</f>
        <v>0</v>
      </c>
    </row>
    <row r="546" spans="1:9" x14ac:dyDescent="0.25">
      <c r="A546" s="82">
        <v>4223</v>
      </c>
      <c r="G546" s="130">
        <f>SUMIF($A$6:$A$472,A546,$G$6:$G$472)</f>
        <v>1843.16</v>
      </c>
      <c r="H546" s="159">
        <f>SUMIF($A$6:$A$472,A546,$H$6:$H$472)</f>
        <v>1543.16</v>
      </c>
      <c r="I546" s="127">
        <f>SUMIF($A$6:$A$472,A546,$I$6:$I$472)</f>
        <v>0</v>
      </c>
    </row>
    <row r="547" spans="1:9" x14ac:dyDescent="0.25">
      <c r="A547" s="82">
        <v>4227</v>
      </c>
      <c r="G547" s="130">
        <f>SUMIF($A$6:$A$472,A547,$G$6:$G$472)</f>
        <v>2300</v>
      </c>
      <c r="H547" s="159">
        <f>SUMIF($A$6:$A$472,A547,$H$6:$H$472)</f>
        <v>1120.31</v>
      </c>
      <c r="I547" s="127">
        <f>SUMIF($A$6:$A$472,A547,$I$6:$I$472)</f>
        <v>0</v>
      </c>
    </row>
    <row r="548" spans="1:9" x14ac:dyDescent="0.25">
      <c r="A548" s="82">
        <v>4241</v>
      </c>
      <c r="G548" s="130">
        <f>SUMIF($A$6:$A$472,A548,$G$6:$G$472)</f>
        <v>3960</v>
      </c>
      <c r="H548" s="159">
        <f>SUMIF($A$6:$A$472,A548,$H$6:$H$472)</f>
        <v>963.75</v>
      </c>
      <c r="I548" s="127">
        <f>SUMIF($A$6:$A$472,A548,$I$6:$I$472)</f>
        <v>0</v>
      </c>
    </row>
    <row r="549" spans="1:9" x14ac:dyDescent="0.25">
      <c r="A549" s="82">
        <v>4511</v>
      </c>
      <c r="G549" s="130">
        <f>SUMIF($A$6:$A$472,A549,$G$6:$G$472)</f>
        <v>1125</v>
      </c>
      <c r="H549" s="159">
        <f>SUMIF($A$6:$A$472,A549,$H$6:$H$472)</f>
        <v>1125</v>
      </c>
      <c r="I549" s="127">
        <f>SUMIF($A$6:$A$472,A549,$I$6:$I$472)</f>
        <v>0</v>
      </c>
    </row>
    <row r="550" spans="1:9" x14ac:dyDescent="0.25">
      <c r="A550" s="82">
        <v>3292</v>
      </c>
      <c r="G550" s="130">
        <f>SUMIF($A$6:$A$472,A550,$G$6:$G$472)</f>
        <v>1900</v>
      </c>
      <c r="H550" s="85">
        <f>SUMIF($A$6:$A$472,A550,$H$6:$H$472)</f>
        <v>0</v>
      </c>
      <c r="I550" s="82">
        <f>SUMIF($A$6:$A$472,A550,$I$6:$I$472)</f>
        <v>0</v>
      </c>
    </row>
    <row r="551" spans="1:9" x14ac:dyDescent="0.25">
      <c r="H551" s="85"/>
    </row>
    <row r="552" spans="1:9" x14ac:dyDescent="0.25">
      <c r="H552" s="85"/>
    </row>
    <row r="553" spans="1:9" x14ac:dyDescent="0.25">
      <c r="H553" s="85"/>
    </row>
    <row r="554" spans="1:9" x14ac:dyDescent="0.25">
      <c r="H554" s="85"/>
    </row>
    <row r="555" spans="1:9" x14ac:dyDescent="0.25">
      <c r="H555" s="85"/>
    </row>
    <row r="556" spans="1:9" x14ac:dyDescent="0.25">
      <c r="H556" s="85"/>
    </row>
    <row r="557" spans="1:9" x14ac:dyDescent="0.25">
      <c r="H557" s="85"/>
    </row>
    <row r="558" spans="1:9" x14ac:dyDescent="0.25">
      <c r="H558" s="85"/>
    </row>
    <row r="559" spans="1:9" x14ac:dyDescent="0.25">
      <c r="H559" s="85"/>
    </row>
    <row r="560" spans="1:9" x14ac:dyDescent="0.25">
      <c r="H560" s="85"/>
    </row>
    <row r="561" spans="8:8" x14ac:dyDescent="0.25">
      <c r="H561" s="85"/>
    </row>
    <row r="562" spans="8:8" x14ac:dyDescent="0.25">
      <c r="H562" s="85"/>
    </row>
    <row r="563" spans="8:8" x14ac:dyDescent="0.25">
      <c r="H563" s="85"/>
    </row>
    <row r="564" spans="8:8" x14ac:dyDescent="0.25">
      <c r="H564" s="85"/>
    </row>
    <row r="565" spans="8:8" x14ac:dyDescent="0.25">
      <c r="H565" s="85"/>
    </row>
    <row r="566" spans="8:8" x14ac:dyDescent="0.25">
      <c r="H566" s="85"/>
    </row>
    <row r="567" spans="8:8" x14ac:dyDescent="0.25">
      <c r="H567" s="85"/>
    </row>
    <row r="568" spans="8:8" x14ac:dyDescent="0.25">
      <c r="H568" s="85"/>
    </row>
    <row r="569" spans="8:8" x14ac:dyDescent="0.25">
      <c r="H569" s="85"/>
    </row>
    <row r="570" spans="8:8" x14ac:dyDescent="0.25">
      <c r="H570" s="85"/>
    </row>
    <row r="571" spans="8:8" x14ac:dyDescent="0.25">
      <c r="H571" s="85"/>
    </row>
    <row r="572" spans="8:8" x14ac:dyDescent="0.25">
      <c r="H572" s="85"/>
    </row>
    <row r="573" spans="8:8" x14ac:dyDescent="0.25">
      <c r="H573" s="85"/>
    </row>
    <row r="574" spans="8:8" x14ac:dyDescent="0.25">
      <c r="H574" s="85"/>
    </row>
    <row r="575" spans="8:8" x14ac:dyDescent="0.25">
      <c r="H575" s="85"/>
    </row>
    <row r="576" spans="8:8" x14ac:dyDescent="0.25">
      <c r="H576" s="85"/>
    </row>
    <row r="577" spans="8:8" x14ac:dyDescent="0.25">
      <c r="H577" s="85"/>
    </row>
    <row r="578" spans="8:8" x14ac:dyDescent="0.25">
      <c r="H578" s="85"/>
    </row>
    <row r="579" spans="8:8" x14ac:dyDescent="0.25">
      <c r="H579" s="85"/>
    </row>
    <row r="580" spans="8:8" x14ac:dyDescent="0.25">
      <c r="H580" s="85"/>
    </row>
    <row r="581" spans="8:8" x14ac:dyDescent="0.25">
      <c r="H581" s="85"/>
    </row>
    <row r="582" spans="8:8" x14ac:dyDescent="0.25">
      <c r="H582" s="85"/>
    </row>
    <row r="583" spans="8:8" x14ac:dyDescent="0.25">
      <c r="H583" s="85"/>
    </row>
    <row r="584" spans="8:8" x14ac:dyDescent="0.25">
      <c r="H584" s="85"/>
    </row>
    <row r="585" spans="8:8" x14ac:dyDescent="0.25">
      <c r="H585" s="85"/>
    </row>
    <row r="586" spans="8:8" x14ac:dyDescent="0.25">
      <c r="H586" s="85"/>
    </row>
    <row r="587" spans="8:8" x14ac:dyDescent="0.25">
      <c r="H587" s="85"/>
    </row>
    <row r="588" spans="8:8" x14ac:dyDescent="0.25">
      <c r="H588" s="85"/>
    </row>
    <row r="589" spans="8:8" x14ac:dyDescent="0.25">
      <c r="H589" s="85"/>
    </row>
    <row r="590" spans="8:8" x14ac:dyDescent="0.25">
      <c r="H590" s="85"/>
    </row>
    <row r="591" spans="8:8" x14ac:dyDescent="0.25">
      <c r="H591" s="85"/>
    </row>
    <row r="592" spans="8:8" x14ac:dyDescent="0.25">
      <c r="H592" s="85"/>
    </row>
    <row r="593" spans="8:8" x14ac:dyDescent="0.25">
      <c r="H593" s="85"/>
    </row>
    <row r="594" spans="8:8" x14ac:dyDescent="0.25">
      <c r="H594" s="85"/>
    </row>
    <row r="595" spans="8:8" x14ac:dyDescent="0.25">
      <c r="H595" s="85"/>
    </row>
    <row r="596" spans="8:8" x14ac:dyDescent="0.25">
      <c r="H596" s="85"/>
    </row>
    <row r="597" spans="8:8" x14ac:dyDescent="0.25">
      <c r="H597" s="85"/>
    </row>
    <row r="598" spans="8:8" x14ac:dyDescent="0.25">
      <c r="H598" s="85"/>
    </row>
    <row r="599" spans="8:8" x14ac:dyDescent="0.25">
      <c r="H599" s="85"/>
    </row>
    <row r="600" spans="8:8" x14ac:dyDescent="0.25">
      <c r="H600" s="85"/>
    </row>
    <row r="601" spans="8:8" x14ac:dyDescent="0.25">
      <c r="H601" s="85"/>
    </row>
    <row r="602" spans="8:8" x14ac:dyDescent="0.25">
      <c r="H602" s="85"/>
    </row>
    <row r="603" spans="8:8" x14ac:dyDescent="0.25">
      <c r="H603" s="85"/>
    </row>
    <row r="604" spans="8:8" x14ac:dyDescent="0.25">
      <c r="H604" s="85"/>
    </row>
    <row r="605" spans="8:8" x14ac:dyDescent="0.25">
      <c r="H605" s="85"/>
    </row>
    <row r="606" spans="8:8" x14ac:dyDescent="0.25">
      <c r="H606" s="85"/>
    </row>
    <row r="607" spans="8:8" x14ac:dyDescent="0.25">
      <c r="H607" s="85"/>
    </row>
    <row r="608" spans="8:8" x14ac:dyDescent="0.25">
      <c r="H608" s="85"/>
    </row>
    <row r="609" spans="8:8" x14ac:dyDescent="0.25">
      <c r="H609" s="85"/>
    </row>
    <row r="610" spans="8:8" x14ac:dyDescent="0.25">
      <c r="H610" s="85"/>
    </row>
    <row r="611" spans="8:8" x14ac:dyDescent="0.25">
      <c r="H611" s="85"/>
    </row>
    <row r="612" spans="8:8" x14ac:dyDescent="0.25">
      <c r="H612" s="85"/>
    </row>
    <row r="613" spans="8:8" x14ac:dyDescent="0.25">
      <c r="H613" s="85"/>
    </row>
    <row r="614" spans="8:8" x14ac:dyDescent="0.25">
      <c r="H614" s="85"/>
    </row>
    <row r="615" spans="8:8" x14ac:dyDescent="0.25">
      <c r="H615" s="85"/>
    </row>
    <row r="616" spans="8:8" x14ac:dyDescent="0.25">
      <c r="H616" s="85"/>
    </row>
    <row r="617" spans="8:8" x14ac:dyDescent="0.25">
      <c r="H617" s="85"/>
    </row>
    <row r="618" spans="8:8" x14ac:dyDescent="0.25">
      <c r="H618" s="85"/>
    </row>
    <row r="619" spans="8:8" x14ac:dyDescent="0.25">
      <c r="H619" s="85"/>
    </row>
    <row r="620" spans="8:8" x14ac:dyDescent="0.25">
      <c r="H620" s="85"/>
    </row>
    <row r="621" spans="8:8" x14ac:dyDescent="0.25">
      <c r="H621" s="85"/>
    </row>
    <row r="622" spans="8:8" x14ac:dyDescent="0.25">
      <c r="H622" s="85"/>
    </row>
    <row r="623" spans="8:8" x14ac:dyDescent="0.25">
      <c r="H623" s="85"/>
    </row>
    <row r="624" spans="8:8" x14ac:dyDescent="0.25">
      <c r="H624" s="85"/>
    </row>
    <row r="625" spans="8:8" x14ac:dyDescent="0.25">
      <c r="H625" s="85"/>
    </row>
    <row r="626" spans="8:8" x14ac:dyDescent="0.25">
      <c r="H626" s="85"/>
    </row>
    <row r="627" spans="8:8" x14ac:dyDescent="0.25">
      <c r="H627" s="85"/>
    </row>
    <row r="628" spans="8:8" x14ac:dyDescent="0.25">
      <c r="H628" s="85"/>
    </row>
    <row r="629" spans="8:8" x14ac:dyDescent="0.25">
      <c r="H629" s="85"/>
    </row>
    <row r="630" spans="8:8" x14ac:dyDescent="0.25">
      <c r="H630" s="85"/>
    </row>
    <row r="631" spans="8:8" x14ac:dyDescent="0.25">
      <c r="H631" s="85"/>
    </row>
    <row r="632" spans="8:8" x14ac:dyDescent="0.25">
      <c r="H632" s="85"/>
    </row>
    <row r="633" spans="8:8" x14ac:dyDescent="0.25">
      <c r="H633" s="85"/>
    </row>
    <row r="634" spans="8:8" x14ac:dyDescent="0.25">
      <c r="H634" s="85"/>
    </row>
    <row r="635" spans="8:8" x14ac:dyDescent="0.25">
      <c r="H635" s="85"/>
    </row>
    <row r="636" spans="8:8" x14ac:dyDescent="0.25">
      <c r="H636" s="85"/>
    </row>
    <row r="637" spans="8:8" x14ac:dyDescent="0.25">
      <c r="H637" s="85"/>
    </row>
    <row r="638" spans="8:8" x14ac:dyDescent="0.25">
      <c r="H638" s="85"/>
    </row>
    <row r="639" spans="8:8" x14ac:dyDescent="0.25">
      <c r="H639" s="85"/>
    </row>
    <row r="640" spans="8:8" x14ac:dyDescent="0.25">
      <c r="H640" s="85"/>
    </row>
    <row r="641" spans="8:8" x14ac:dyDescent="0.25">
      <c r="H641" s="85"/>
    </row>
    <row r="642" spans="8:8" x14ac:dyDescent="0.25">
      <c r="H642" s="85"/>
    </row>
    <row r="643" spans="8:8" x14ac:dyDescent="0.25">
      <c r="H643" s="85"/>
    </row>
    <row r="644" spans="8:8" x14ac:dyDescent="0.25">
      <c r="H644" s="85"/>
    </row>
    <row r="645" spans="8:8" x14ac:dyDescent="0.25">
      <c r="H645" s="85"/>
    </row>
    <row r="646" spans="8:8" x14ac:dyDescent="0.25">
      <c r="H646" s="85"/>
    </row>
    <row r="647" spans="8:8" x14ac:dyDescent="0.25">
      <c r="H647" s="85"/>
    </row>
    <row r="648" spans="8:8" x14ac:dyDescent="0.25">
      <c r="H648" s="85"/>
    </row>
    <row r="649" spans="8:8" x14ac:dyDescent="0.25">
      <c r="H649" s="85"/>
    </row>
    <row r="650" spans="8:8" x14ac:dyDescent="0.25">
      <c r="H650" s="85"/>
    </row>
    <row r="651" spans="8:8" x14ac:dyDescent="0.25">
      <c r="H651" s="85"/>
    </row>
    <row r="652" spans="8:8" x14ac:dyDescent="0.25">
      <c r="H652" s="85"/>
    </row>
    <row r="653" spans="8:8" x14ac:dyDescent="0.25">
      <c r="H653" s="85"/>
    </row>
    <row r="654" spans="8:8" x14ac:dyDescent="0.25">
      <c r="H654" s="85"/>
    </row>
    <row r="655" spans="8:8" x14ac:dyDescent="0.25">
      <c r="H655" s="85"/>
    </row>
    <row r="656" spans="8:8" x14ac:dyDescent="0.25">
      <c r="H656" s="85"/>
    </row>
    <row r="657" spans="8:8" x14ac:dyDescent="0.25">
      <c r="H657" s="85"/>
    </row>
    <row r="658" spans="8:8" x14ac:dyDescent="0.25">
      <c r="H658" s="85"/>
    </row>
    <row r="659" spans="8:8" x14ac:dyDescent="0.25">
      <c r="H659" s="85"/>
    </row>
    <row r="660" spans="8:8" x14ac:dyDescent="0.25">
      <c r="H660" s="85"/>
    </row>
    <row r="661" spans="8:8" x14ac:dyDescent="0.25">
      <c r="H661" s="85"/>
    </row>
    <row r="662" spans="8:8" x14ac:dyDescent="0.25">
      <c r="H662" s="85"/>
    </row>
    <row r="663" spans="8:8" x14ac:dyDescent="0.25">
      <c r="H663" s="85"/>
    </row>
    <row r="664" spans="8:8" x14ac:dyDescent="0.25">
      <c r="H664" s="85"/>
    </row>
    <row r="665" spans="8:8" x14ac:dyDescent="0.25">
      <c r="H665" s="85"/>
    </row>
    <row r="666" spans="8:8" x14ac:dyDescent="0.25">
      <c r="H666" s="85"/>
    </row>
    <row r="667" spans="8:8" x14ac:dyDescent="0.25">
      <c r="H667" s="85"/>
    </row>
    <row r="668" spans="8:8" x14ac:dyDescent="0.25">
      <c r="H668" s="85"/>
    </row>
    <row r="669" spans="8:8" x14ac:dyDescent="0.25">
      <c r="H669" s="85"/>
    </row>
  </sheetData>
  <autoFilter ref="A5:I468">
    <filterColumn colId="0" showButton="0"/>
    <filterColumn colId="1" showButton="0"/>
  </autoFilter>
  <mergeCells count="459">
    <mergeCell ref="A466:C466"/>
    <mergeCell ref="A470:C470"/>
    <mergeCell ref="A11:C11"/>
    <mergeCell ref="A412:C412"/>
    <mergeCell ref="A417:C417"/>
    <mergeCell ref="A423:C423"/>
    <mergeCell ref="A428:C428"/>
    <mergeCell ref="A433:C433"/>
    <mergeCell ref="A450:C450"/>
    <mergeCell ref="A455:C455"/>
    <mergeCell ref="A445:C445"/>
    <mergeCell ref="A461:C461"/>
    <mergeCell ref="A379:C379"/>
    <mergeCell ref="A385:C385"/>
    <mergeCell ref="A387:C387"/>
    <mergeCell ref="A389:C389"/>
    <mergeCell ref="A393:C393"/>
    <mergeCell ref="A395:C395"/>
    <mergeCell ref="A397:C397"/>
    <mergeCell ref="A401:C401"/>
    <mergeCell ref="A407:C407"/>
    <mergeCell ref="A283:C283"/>
    <mergeCell ref="A288:C288"/>
    <mergeCell ref="A292:C292"/>
    <mergeCell ref="A324:C324"/>
    <mergeCell ref="A327:C327"/>
    <mergeCell ref="A332:C332"/>
    <mergeCell ref="A234:C234"/>
    <mergeCell ref="A245:C245"/>
    <mergeCell ref="A252:C252"/>
    <mergeCell ref="A257:C257"/>
    <mergeCell ref="A264:C264"/>
    <mergeCell ref="A268:C268"/>
    <mergeCell ref="A272:C272"/>
    <mergeCell ref="A279:C279"/>
    <mergeCell ref="A275:C275"/>
    <mergeCell ref="A210:C210"/>
    <mergeCell ref="A209:C209"/>
    <mergeCell ref="A205:C205"/>
    <mergeCell ref="A204:C204"/>
    <mergeCell ref="A203:C203"/>
    <mergeCell ref="A202:C202"/>
    <mergeCell ref="A183:C183"/>
    <mergeCell ref="A179:C179"/>
    <mergeCell ref="A226:C226"/>
    <mergeCell ref="A149:C149"/>
    <mergeCell ref="A156:C156"/>
    <mergeCell ref="A158:C158"/>
    <mergeCell ref="A160:C160"/>
    <mergeCell ref="A163:C163"/>
    <mergeCell ref="A169:C169"/>
    <mergeCell ref="A171:C171"/>
    <mergeCell ref="A173:C173"/>
    <mergeCell ref="A176:C176"/>
    <mergeCell ref="A119:C119"/>
    <mergeCell ref="A122:C122"/>
    <mergeCell ref="A129:C129"/>
    <mergeCell ref="A131:C131"/>
    <mergeCell ref="A133:C133"/>
    <mergeCell ref="A136:C136"/>
    <mergeCell ref="A142:C142"/>
    <mergeCell ref="A144:C144"/>
    <mergeCell ref="A146:C146"/>
    <mergeCell ref="A76:C76"/>
    <mergeCell ref="A83:C83"/>
    <mergeCell ref="A90:C90"/>
    <mergeCell ref="A96:C96"/>
    <mergeCell ref="A102:C102"/>
    <mergeCell ref="A104:C104"/>
    <mergeCell ref="A106:C106"/>
    <mergeCell ref="A109:C109"/>
    <mergeCell ref="A115:C115"/>
    <mergeCell ref="A30:C30"/>
    <mergeCell ref="A38:C38"/>
    <mergeCell ref="A47:C47"/>
    <mergeCell ref="A53:C53"/>
    <mergeCell ref="A18:C18"/>
    <mergeCell ref="A23:C23"/>
    <mergeCell ref="A59:C59"/>
    <mergeCell ref="A71:C71"/>
    <mergeCell ref="A74:C74"/>
    <mergeCell ref="A359:C359"/>
    <mergeCell ref="A366:C366"/>
    <mergeCell ref="A369:C369"/>
    <mergeCell ref="A376:C376"/>
    <mergeCell ref="A333:C333"/>
    <mergeCell ref="A338:C338"/>
    <mergeCell ref="A339:C339"/>
    <mergeCell ref="A342:C342"/>
    <mergeCell ref="A343:C343"/>
    <mergeCell ref="A344:C344"/>
    <mergeCell ref="A345:C345"/>
    <mergeCell ref="A347:C347"/>
    <mergeCell ref="A334:C334"/>
    <mergeCell ref="A335:C335"/>
    <mergeCell ref="A336:C336"/>
    <mergeCell ref="A337:C337"/>
    <mergeCell ref="A341:C341"/>
    <mergeCell ref="A346:C346"/>
    <mergeCell ref="A355:C355"/>
    <mergeCell ref="A361:C361"/>
    <mergeCell ref="A368:C368"/>
    <mergeCell ref="A365:C365"/>
    <mergeCell ref="A373:C373"/>
    <mergeCell ref="A375:C375"/>
    <mergeCell ref="A459:C459"/>
    <mergeCell ref="A460:C460"/>
    <mergeCell ref="A462:C462"/>
    <mergeCell ref="A463:C463"/>
    <mergeCell ref="A464:C464"/>
    <mergeCell ref="A465:C465"/>
    <mergeCell ref="A467:C467"/>
    <mergeCell ref="A468:C468"/>
    <mergeCell ref="A267:C267"/>
    <mergeCell ref="A340:C340"/>
    <mergeCell ref="A452:C452"/>
    <mergeCell ref="A441:C441"/>
    <mergeCell ref="A442:C442"/>
    <mergeCell ref="A443:C443"/>
    <mergeCell ref="A444:C444"/>
    <mergeCell ref="A410:C410"/>
    <mergeCell ref="A348:C348"/>
    <mergeCell ref="A349:C349"/>
    <mergeCell ref="A350:C350"/>
    <mergeCell ref="A351:C351"/>
    <mergeCell ref="A352:C352"/>
    <mergeCell ref="A353:C353"/>
    <mergeCell ref="A354:C354"/>
    <mergeCell ref="A356:C356"/>
    <mergeCell ref="A175:C175"/>
    <mergeCell ref="A177:C177"/>
    <mergeCell ref="A457:C457"/>
    <mergeCell ref="A458:C458"/>
    <mergeCell ref="A439:C439"/>
    <mergeCell ref="A440:C440"/>
    <mergeCell ref="A446:C446"/>
    <mergeCell ref="A451:C451"/>
    <mergeCell ref="A456:C456"/>
    <mergeCell ref="A388:C388"/>
    <mergeCell ref="A421:C421"/>
    <mergeCell ref="A422:C422"/>
    <mergeCell ref="A404:C404"/>
    <mergeCell ref="A403:C403"/>
    <mergeCell ref="A453:C453"/>
    <mergeCell ref="A454:C454"/>
    <mergeCell ref="A447:C447"/>
    <mergeCell ref="A448:C448"/>
    <mergeCell ref="A449:C449"/>
    <mergeCell ref="A229:C229"/>
    <mergeCell ref="A241:C241"/>
    <mergeCell ref="A242:C242"/>
    <mergeCell ref="A243:C243"/>
    <mergeCell ref="A244:C244"/>
    <mergeCell ref="A78:C78"/>
    <mergeCell ref="A125:C125"/>
    <mergeCell ref="A126:C126"/>
    <mergeCell ref="A127:C127"/>
    <mergeCell ref="A128:C128"/>
    <mergeCell ref="A130:C130"/>
    <mergeCell ref="A132:C132"/>
    <mergeCell ref="A134:C134"/>
    <mergeCell ref="A135:C135"/>
    <mergeCell ref="A137:C137"/>
    <mergeCell ref="A151:C151"/>
    <mergeCell ref="A167:C167"/>
    <mergeCell ref="A168:C168"/>
    <mergeCell ref="A170:C170"/>
    <mergeCell ref="A172:C172"/>
    <mergeCell ref="A174:C174"/>
    <mergeCell ref="A302:C302"/>
    <mergeCell ref="A303:C303"/>
    <mergeCell ref="A306:C306"/>
    <mergeCell ref="A310:C310"/>
    <mergeCell ref="A311:C311"/>
    <mergeCell ref="A307:C307"/>
    <mergeCell ref="A309:C309"/>
    <mergeCell ref="A386:C386"/>
    <mergeCell ref="A372:C372"/>
    <mergeCell ref="A381:C381"/>
    <mergeCell ref="A363:C363"/>
    <mergeCell ref="A364:C364"/>
    <mergeCell ref="A370:C370"/>
    <mergeCell ref="A371:C371"/>
    <mergeCell ref="A384:C384"/>
    <mergeCell ref="A362:C362"/>
    <mergeCell ref="A367:C367"/>
    <mergeCell ref="A380:C380"/>
    <mergeCell ref="A374:C374"/>
    <mergeCell ref="A377:C377"/>
    <mergeCell ref="A378:C378"/>
    <mergeCell ref="A360:C360"/>
    <mergeCell ref="A357:C357"/>
    <mergeCell ref="A358:C358"/>
    <mergeCell ref="A328:C328"/>
    <mergeCell ref="A329:C329"/>
    <mergeCell ref="A315:C315"/>
    <mergeCell ref="A316:C316"/>
    <mergeCell ref="A317:C317"/>
    <mergeCell ref="A318:C318"/>
    <mergeCell ref="A319:C319"/>
    <mergeCell ref="A320:C320"/>
    <mergeCell ref="A308:C308"/>
    <mergeCell ref="A91:C91"/>
    <mergeCell ref="A103:C103"/>
    <mergeCell ref="A105:C105"/>
    <mergeCell ref="A110:C110"/>
    <mergeCell ref="A111:C111"/>
    <mergeCell ref="A107:C107"/>
    <mergeCell ref="A116:C116"/>
    <mergeCell ref="A118:C118"/>
    <mergeCell ref="A114:C114"/>
    <mergeCell ref="A108:C108"/>
    <mergeCell ref="A112:C112"/>
    <mergeCell ref="A113:C113"/>
    <mergeCell ref="A117:C117"/>
    <mergeCell ref="A77:C77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67:C67"/>
    <mergeCell ref="A68:C68"/>
    <mergeCell ref="A69:C69"/>
    <mergeCell ref="A52:C52"/>
    <mergeCell ref="A62:C62"/>
    <mergeCell ref="A64:C64"/>
    <mergeCell ref="A65:C65"/>
    <mergeCell ref="A66:C66"/>
    <mergeCell ref="A55:C55"/>
    <mergeCell ref="A56:C56"/>
    <mergeCell ref="A57:C57"/>
    <mergeCell ref="A58:C58"/>
    <mergeCell ref="A63:C63"/>
    <mergeCell ref="A54:C54"/>
    <mergeCell ref="A31:C31"/>
    <mergeCell ref="A32:C32"/>
    <mergeCell ref="A34:C34"/>
    <mergeCell ref="A35:C35"/>
    <mergeCell ref="A36:C36"/>
    <mergeCell ref="A37:C37"/>
    <mergeCell ref="A39:C39"/>
    <mergeCell ref="A40:C40"/>
    <mergeCell ref="A51:C51"/>
    <mergeCell ref="A33:C33"/>
    <mergeCell ref="A138:C138"/>
    <mergeCell ref="A139:C139"/>
    <mergeCell ref="A140:C140"/>
    <mergeCell ref="A141:C141"/>
    <mergeCell ref="A143:C143"/>
    <mergeCell ref="A145:C145"/>
    <mergeCell ref="A398:C398"/>
    <mergeCell ref="A431:C431"/>
    <mergeCell ref="A432:C432"/>
    <mergeCell ref="A414:C414"/>
    <mergeCell ref="A415:C415"/>
    <mergeCell ref="A416:C416"/>
    <mergeCell ref="A420:C420"/>
    <mergeCell ref="A430:C430"/>
    <mergeCell ref="A429:C429"/>
    <mergeCell ref="A411:C411"/>
    <mergeCell ref="A409:C409"/>
    <mergeCell ref="A418:C418"/>
    <mergeCell ref="A424:C424"/>
    <mergeCell ref="A426:C426"/>
    <mergeCell ref="A427:C427"/>
    <mergeCell ref="A287:C287"/>
    <mergeCell ref="A321:C321"/>
    <mergeCell ref="A322:C322"/>
    <mergeCell ref="A206:C206"/>
    <mergeCell ref="A207:C207"/>
    <mergeCell ref="A277:C277"/>
    <mergeCell ref="A278:C278"/>
    <mergeCell ref="A254:C254"/>
    <mergeCell ref="A255:C255"/>
    <mergeCell ref="A256:C256"/>
    <mergeCell ref="A251:C251"/>
    <mergeCell ref="A253:C253"/>
    <mergeCell ref="A222:C222"/>
    <mergeCell ref="A223:C223"/>
    <mergeCell ref="A224:C224"/>
    <mergeCell ref="A215:C215"/>
    <mergeCell ref="A246:C246"/>
    <mergeCell ref="A265:C265"/>
    <mergeCell ref="A266:C266"/>
    <mergeCell ref="A269:C269"/>
    <mergeCell ref="A271:C271"/>
    <mergeCell ref="A274:C274"/>
    <mergeCell ref="A276:C276"/>
    <mergeCell ref="A216:C216"/>
    <mergeCell ref="A217:C217"/>
    <mergeCell ref="A218:C218"/>
    <mergeCell ref="A219:C219"/>
    <mergeCell ref="A120:C120"/>
    <mergeCell ref="A97:C97"/>
    <mergeCell ref="A123:C123"/>
    <mergeCell ref="A124:C124"/>
    <mergeCell ref="A147:C147"/>
    <mergeCell ref="A148:C148"/>
    <mergeCell ref="A150:C150"/>
    <mergeCell ref="A152:C152"/>
    <mergeCell ref="A153:C153"/>
    <mergeCell ref="A154:C154"/>
    <mergeCell ref="A155:C155"/>
    <mergeCell ref="A157:C157"/>
    <mergeCell ref="A159:C159"/>
    <mergeCell ref="A161:C161"/>
    <mergeCell ref="A162:C162"/>
    <mergeCell ref="A164:C164"/>
    <mergeCell ref="A178:C178"/>
    <mergeCell ref="A165:C165"/>
    <mergeCell ref="A166:C166"/>
    <mergeCell ref="A100:C100"/>
    <mergeCell ref="A101:C101"/>
    <mergeCell ref="A60:C60"/>
    <mergeCell ref="A61:C61"/>
    <mergeCell ref="A88:C88"/>
    <mergeCell ref="A89:C89"/>
    <mergeCell ref="A98:C98"/>
    <mergeCell ref="A99:C99"/>
    <mergeCell ref="A70:C70"/>
    <mergeCell ref="A221:C221"/>
    <mergeCell ref="A79:C79"/>
    <mergeCell ref="A80:C80"/>
    <mergeCell ref="A81:C81"/>
    <mergeCell ref="A82:C82"/>
    <mergeCell ref="A86:C86"/>
    <mergeCell ref="A87:C87"/>
    <mergeCell ref="A84:C84"/>
    <mergeCell ref="A85:C85"/>
    <mergeCell ref="A72:C72"/>
    <mergeCell ref="A73:C73"/>
    <mergeCell ref="A75:C75"/>
    <mergeCell ref="A121:C121"/>
    <mergeCell ref="A92:C92"/>
    <mergeCell ref="A93:C93"/>
    <mergeCell ref="A94:C94"/>
    <mergeCell ref="A95:C95"/>
    <mergeCell ref="A25:C25"/>
    <mergeCell ref="A26:C26"/>
    <mergeCell ref="A1:I1"/>
    <mergeCell ref="A3:I3"/>
    <mergeCell ref="A5:C5"/>
    <mergeCell ref="A27:C27"/>
    <mergeCell ref="A28:C28"/>
    <mergeCell ref="A29:C29"/>
    <mergeCell ref="A6:C6"/>
    <mergeCell ref="A7:C7"/>
    <mergeCell ref="A8:C8"/>
    <mergeCell ref="A9:C9"/>
    <mergeCell ref="A10:C10"/>
    <mergeCell ref="A12:C12"/>
    <mergeCell ref="A13:C13"/>
    <mergeCell ref="A14:C14"/>
    <mergeCell ref="A15:C15"/>
    <mergeCell ref="A16:C16"/>
    <mergeCell ref="A17:C17"/>
    <mergeCell ref="A19:C19"/>
    <mergeCell ref="A20:C20"/>
    <mergeCell ref="A21:C21"/>
    <mergeCell ref="A22:C22"/>
    <mergeCell ref="A24:C24"/>
    <mergeCell ref="A208:C208"/>
    <mergeCell ref="A270:C270"/>
    <mergeCell ref="A247:C247"/>
    <mergeCell ref="A248:C248"/>
    <mergeCell ref="A249:C249"/>
    <mergeCell ref="A250:C250"/>
    <mergeCell ref="A406:C406"/>
    <mergeCell ref="A405:C405"/>
    <mergeCell ref="A382:C382"/>
    <mergeCell ref="A383:C383"/>
    <mergeCell ref="A392:C392"/>
    <mergeCell ref="A400:C400"/>
    <mergeCell ref="A235:C235"/>
    <mergeCell ref="A390:C390"/>
    <mergeCell ref="A391:C391"/>
    <mergeCell ref="A396:C396"/>
    <mergeCell ref="A394:C394"/>
    <mergeCell ref="A323:C323"/>
    <mergeCell ref="A312:C312"/>
    <mergeCell ref="A313:C313"/>
    <mergeCell ref="A314:C314"/>
    <mergeCell ref="A331:C331"/>
    <mergeCell ref="A326:C326"/>
    <mergeCell ref="A291:C291"/>
    <mergeCell ref="A180:C180"/>
    <mergeCell ref="A181:C181"/>
    <mergeCell ref="A182:C182"/>
    <mergeCell ref="A184:C184"/>
    <mergeCell ref="A186:C186"/>
    <mergeCell ref="A188:C188"/>
    <mergeCell ref="A189:C189"/>
    <mergeCell ref="A191:C191"/>
    <mergeCell ref="A201:C20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185:C185"/>
    <mergeCell ref="A187:C187"/>
    <mergeCell ref="A190:C190"/>
    <mergeCell ref="A300:C300"/>
    <mergeCell ref="A301:C301"/>
    <mergeCell ref="A305:C305"/>
    <mergeCell ref="A238:C238"/>
    <mergeCell ref="A239:C239"/>
    <mergeCell ref="A240:C240"/>
    <mergeCell ref="A258:C258"/>
    <mergeCell ref="A469:C469"/>
    <mergeCell ref="A471:C471"/>
    <mergeCell ref="A280:C280"/>
    <mergeCell ref="A281:C281"/>
    <mergeCell ref="A282:C282"/>
    <mergeCell ref="A286:C286"/>
    <mergeCell ref="A297:C297"/>
    <mergeCell ref="A298:C298"/>
    <mergeCell ref="A299:C299"/>
    <mergeCell ref="A435:C435"/>
    <mergeCell ref="A436:C436"/>
    <mergeCell ref="A437:C437"/>
    <mergeCell ref="A293:C293"/>
    <mergeCell ref="A325:C325"/>
    <mergeCell ref="A289:C289"/>
    <mergeCell ref="A290:C290"/>
    <mergeCell ref="A330:C330"/>
    <mergeCell ref="A220:C220"/>
    <mergeCell ref="A294:C294"/>
    <mergeCell ref="A295:C295"/>
    <mergeCell ref="A296:C296"/>
    <mergeCell ref="A284:C284"/>
    <mergeCell ref="A285:C285"/>
    <mergeCell ref="A262:C262"/>
    <mergeCell ref="A263:C263"/>
    <mergeCell ref="A225:C225"/>
    <mergeCell ref="A227:C227"/>
    <mergeCell ref="A231:C231"/>
    <mergeCell ref="A232:C232"/>
    <mergeCell ref="A233:C233"/>
    <mergeCell ref="A230:C230"/>
    <mergeCell ref="A259:C259"/>
    <mergeCell ref="A260:C260"/>
    <mergeCell ref="A261:C261"/>
    <mergeCell ref="A228:C228"/>
    <mergeCell ref="A236:C236"/>
    <mergeCell ref="A237:C237"/>
    <mergeCell ref="A214:C214"/>
    <mergeCell ref="A213:C213"/>
    <mergeCell ref="A212:C212"/>
    <mergeCell ref="A211:C2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3" manualBreakCount="3">
    <brk id="258" max="8" man="1"/>
    <brk id="401" max="8" man="1"/>
    <brk id="475" max="8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222" t="s">
        <v>263</v>
      </c>
      <c r="B1" s="222"/>
      <c r="C1" s="222"/>
      <c r="D1" s="222"/>
      <c r="E1" s="222"/>
      <c r="F1" s="222"/>
    </row>
    <row r="2" spans="1:6" ht="18" customHeight="1" x14ac:dyDescent="0.25">
      <c r="A2" s="27"/>
      <c r="B2" s="27"/>
      <c r="C2" s="27"/>
      <c r="D2" s="27"/>
      <c r="E2" s="27"/>
      <c r="F2" s="27"/>
    </row>
    <row r="3" spans="1:6" ht="15.75" x14ac:dyDescent="0.25">
      <c r="A3" s="222" t="s">
        <v>33</v>
      </c>
      <c r="B3" s="222"/>
      <c r="C3" s="222"/>
      <c r="D3" s="222"/>
      <c r="E3" s="224"/>
      <c r="F3" s="224"/>
    </row>
    <row r="4" spans="1:6" ht="18" x14ac:dyDescent="0.25">
      <c r="A4" s="27"/>
      <c r="B4" s="27"/>
      <c r="C4" s="27"/>
      <c r="D4" s="27"/>
      <c r="E4" s="6"/>
      <c r="F4" s="6"/>
    </row>
    <row r="5" spans="1:6" ht="18" customHeight="1" x14ac:dyDescent="0.25">
      <c r="A5" s="222" t="s">
        <v>13</v>
      </c>
      <c r="B5" s="223"/>
      <c r="C5" s="223"/>
      <c r="D5" s="223"/>
      <c r="E5" s="223"/>
      <c r="F5" s="223"/>
    </row>
    <row r="6" spans="1:6" ht="18" x14ac:dyDescent="0.25">
      <c r="A6" s="27"/>
      <c r="B6" s="27"/>
      <c r="C6" s="27"/>
      <c r="D6" s="27"/>
      <c r="E6" s="6"/>
      <c r="F6" s="6"/>
    </row>
    <row r="7" spans="1:6" ht="15.75" x14ac:dyDescent="0.25">
      <c r="A7" s="222" t="s">
        <v>26</v>
      </c>
      <c r="B7" s="248"/>
      <c r="C7" s="248"/>
      <c r="D7" s="248"/>
      <c r="E7" s="248"/>
      <c r="F7" s="248"/>
    </row>
    <row r="8" spans="1:6" ht="18" x14ac:dyDescent="0.25">
      <c r="A8" s="27"/>
      <c r="B8" s="27"/>
      <c r="C8" s="27"/>
      <c r="D8" s="27"/>
      <c r="E8" s="6"/>
      <c r="F8" s="6"/>
    </row>
    <row r="9" spans="1:6" ht="25.5" x14ac:dyDescent="0.25">
      <c r="A9" s="23" t="s">
        <v>27</v>
      </c>
      <c r="B9" s="133" t="s">
        <v>246</v>
      </c>
      <c r="C9" s="144" t="s">
        <v>272</v>
      </c>
      <c r="D9" s="23" t="s">
        <v>44</v>
      </c>
      <c r="E9" s="144" t="s">
        <v>273</v>
      </c>
      <c r="F9" s="23" t="s">
        <v>45</v>
      </c>
    </row>
    <row r="10" spans="1:6" ht="15.75" customHeight="1" x14ac:dyDescent="0.25">
      <c r="A10" s="13" t="s">
        <v>28</v>
      </c>
      <c r="B10" s="138" t="e">
        <f>B11</f>
        <v>#DIV/0!</v>
      </c>
      <c r="C10" s="101">
        <f>C11</f>
        <v>1325588.23</v>
      </c>
      <c r="D10" s="101" t="e">
        <f t="shared" ref="D10:F10" si="0">D11</f>
        <v>#REF!</v>
      </c>
      <c r="E10" s="101" t="e">
        <f t="shared" si="0"/>
        <v>#REF!</v>
      </c>
      <c r="F10" s="101" t="e">
        <f t="shared" si="0"/>
        <v>#DIV/0!</v>
      </c>
    </row>
    <row r="11" spans="1:6" ht="15.75" customHeight="1" x14ac:dyDescent="0.25">
      <c r="A11" s="13" t="s">
        <v>150</v>
      </c>
      <c r="B11" s="138" t="e">
        <f>B12+B14+B16+B18</f>
        <v>#DIV/0!</v>
      </c>
      <c r="C11" s="101">
        <f>C12+C14+C16+C18</f>
        <v>1325588.23</v>
      </c>
      <c r="D11" s="101" t="e">
        <f t="shared" ref="D11:F11" si="1">D12+D14+D16+D18</f>
        <v>#REF!</v>
      </c>
      <c r="E11" s="101" t="e">
        <f t="shared" si="1"/>
        <v>#REF!</v>
      </c>
      <c r="F11" s="101" t="e">
        <f t="shared" si="1"/>
        <v>#DIV/0!</v>
      </c>
    </row>
    <row r="12" spans="1:6" x14ac:dyDescent="0.25">
      <c r="A12" s="18" t="s">
        <v>151</v>
      </c>
      <c r="B12" s="145" t="e">
        <f>B13</f>
        <v>#DIV/0!</v>
      </c>
      <c r="C12" s="100">
        <f>C13</f>
        <v>1184112.8899999999</v>
      </c>
      <c r="D12" s="100" t="e">
        <f t="shared" ref="D12:F12" si="2">D13</f>
        <v>#REF!</v>
      </c>
      <c r="E12" s="100" t="e">
        <f t="shared" si="2"/>
        <v>#REF!</v>
      </c>
      <c r="F12" s="100" t="e">
        <f t="shared" si="2"/>
        <v>#DIV/0!</v>
      </c>
    </row>
    <row r="13" spans="1:6" x14ac:dyDescent="0.25">
      <c r="A13" s="17" t="s">
        <v>152</v>
      </c>
      <c r="B13" s="145" t="e">
        <f>'POSEBNI DIO'!E4-'Rashodi prema funkcijskoj kl'!B14-B16-B18</f>
        <v>#DIV/0!</v>
      </c>
      <c r="C13" s="100">
        <v>1184112.8899999999</v>
      </c>
      <c r="D13" s="100" t="e">
        <f>'POSEBNI DIO'!G4-'Rashodi prema funkcijskoj kl'!D14-D16-D18</f>
        <v>#REF!</v>
      </c>
      <c r="E13" s="100" t="e">
        <f>'POSEBNI DIO'!H4-'Rashodi prema funkcijskoj kl'!E14-E16-E18</f>
        <v>#REF!</v>
      </c>
      <c r="F13" s="100" t="e">
        <f>'POSEBNI DIO'!I4-'Rashodi prema funkcijskoj kl'!F14-F16-F18</f>
        <v>#DIV/0!</v>
      </c>
    </row>
    <row r="14" spans="1:6" x14ac:dyDescent="0.25">
      <c r="A14" s="18" t="s">
        <v>153</v>
      </c>
      <c r="B14" s="146">
        <f>B15</f>
        <v>220189.86</v>
      </c>
      <c r="C14" s="107">
        <f>C15</f>
        <v>26235.040000000001</v>
      </c>
      <c r="D14" s="107">
        <f t="shared" ref="D14:F14" si="3">D15</f>
        <v>187004.88</v>
      </c>
      <c r="E14" s="107">
        <f t="shared" si="3"/>
        <v>82138.11</v>
      </c>
      <c r="F14" s="107">
        <f t="shared" si="3"/>
        <v>193.43</v>
      </c>
    </row>
    <row r="15" spans="1:6" x14ac:dyDescent="0.25">
      <c r="A15" s="17" t="s">
        <v>154</v>
      </c>
      <c r="B15" s="145">
        <f>'POSEBNI DIO'!E14+'POSEBNI DIO'!E55+'POSEBNI DIO'!E221+'POSEBNI DIO'!E247+'POSEBNI DIO'!E419+'POSEBNI DIO'!E425+'POSEBNI DIO'!E432+'POSEBNI DIO'!E447</f>
        <v>220189.86</v>
      </c>
      <c r="C15" s="100">
        <v>26235.040000000001</v>
      </c>
      <c r="D15" s="100">
        <f>'POSEBNI DIO'!G14+'POSEBNI DIO'!G55+'POSEBNI DIO'!G221+'POSEBNI DIO'!G247+'POSEBNI DIO'!G419+'POSEBNI DIO'!G425+'POSEBNI DIO'!G432+'POSEBNI DIO'!G447</f>
        <v>187004.88</v>
      </c>
      <c r="E15" s="100">
        <f>'POSEBNI DIO'!H14+'POSEBNI DIO'!H55+'POSEBNI DIO'!H221+'POSEBNI DIO'!H247+'POSEBNI DIO'!H419+'POSEBNI DIO'!H425+'POSEBNI DIO'!H432+'POSEBNI DIO'!H447</f>
        <v>82138.11</v>
      </c>
      <c r="F15" s="100">
        <f>'POSEBNI DIO'!I14+'POSEBNI DIO'!I55+'POSEBNI DIO'!I221+'POSEBNI DIO'!I247+'POSEBNI DIO'!I419+'POSEBNI DIO'!I425+'POSEBNI DIO'!I432+'POSEBNI DIO'!I447</f>
        <v>193.43</v>
      </c>
    </row>
    <row r="16" spans="1:6" x14ac:dyDescent="0.25">
      <c r="A16" s="18" t="s">
        <v>238</v>
      </c>
      <c r="B16" s="146" t="e">
        <f>B17</f>
        <v>#DIV/0!</v>
      </c>
      <c r="C16" s="107">
        <f>C17</f>
        <v>663.61</v>
      </c>
      <c r="D16" s="107">
        <f t="shared" ref="D16:F16" si="4">D17</f>
        <v>666</v>
      </c>
      <c r="E16" s="107">
        <f t="shared" si="4"/>
        <v>322.10000000000002</v>
      </c>
      <c r="F16" s="107">
        <f t="shared" si="4"/>
        <v>48.36</v>
      </c>
    </row>
    <row r="17" spans="1:6" x14ac:dyDescent="0.25">
      <c r="A17" s="17" t="s">
        <v>239</v>
      </c>
      <c r="B17" s="145" t="e">
        <f>'POSEBNI DIO'!E67</f>
        <v>#DIV/0!</v>
      </c>
      <c r="C17" s="100">
        <v>663.61</v>
      </c>
      <c r="D17" s="100">
        <f>'POSEBNI DIO'!G67</f>
        <v>666</v>
      </c>
      <c r="E17" s="100">
        <f>'POSEBNI DIO'!H67</f>
        <v>322.10000000000002</v>
      </c>
      <c r="F17" s="100">
        <f>'POSEBNI DIO'!I67</f>
        <v>48.36</v>
      </c>
    </row>
    <row r="18" spans="1:6" ht="25.5" x14ac:dyDescent="0.25">
      <c r="A18" s="18" t="s">
        <v>235</v>
      </c>
      <c r="B18" s="147" t="e">
        <f>B19</f>
        <v>#REF!</v>
      </c>
      <c r="C18" s="100">
        <f>C19</f>
        <v>114576.69</v>
      </c>
      <c r="D18" s="100" t="e">
        <f t="shared" ref="D18:F18" si="5">D19</f>
        <v>#REF!</v>
      </c>
      <c r="E18" s="100" t="e">
        <f t="shared" si="5"/>
        <v>#REF!</v>
      </c>
      <c r="F18" s="100" t="e">
        <f t="shared" si="5"/>
        <v>#DIV/0!</v>
      </c>
    </row>
    <row r="19" spans="1:6" ht="25.5" x14ac:dyDescent="0.25">
      <c r="A19" s="68" t="s">
        <v>229</v>
      </c>
      <c r="B19" s="145" t="e">
        <f>'POSEBNI DIO'!E79+'POSEBNI DIO'!E86+'POSEBNI DIO'!E92+'POSEBNI DIO'!#REF!+'POSEBNI DIO'!E98</f>
        <v>#REF!</v>
      </c>
      <c r="C19" s="100">
        <v>114576.69</v>
      </c>
      <c r="D19" s="100" t="e">
        <f>'POSEBNI DIO'!G79+'POSEBNI DIO'!G86+'POSEBNI DIO'!G92+'POSEBNI DIO'!#REF!+'POSEBNI DIO'!G98</f>
        <v>#REF!</v>
      </c>
      <c r="E19" s="100" t="e">
        <f>'POSEBNI DIO'!H79+'POSEBNI DIO'!H86+'POSEBNI DIO'!H92+'POSEBNI DIO'!#REF!+'POSEBNI DIO'!H98</f>
        <v>#REF!</v>
      </c>
      <c r="F19" s="100" t="e">
        <f>'POSEBNI DIO'!I79+'POSEBNI DIO'!I86+'POSEBNI DIO'!I92+'POSEBNI DIO'!#REF!+'POSEBNI DIO'!I98</f>
        <v>#DIV/0!</v>
      </c>
    </row>
    <row r="21" spans="1:6" x14ac:dyDescent="0.25">
      <c r="A21" t="s">
        <v>240</v>
      </c>
      <c r="B21" t="s">
        <v>241</v>
      </c>
      <c r="E21" t="s">
        <v>242</v>
      </c>
    </row>
    <row r="22" spans="1:6" x14ac:dyDescent="0.25">
      <c r="A22" t="s">
        <v>243</v>
      </c>
      <c r="B22" t="s">
        <v>244</v>
      </c>
      <c r="E22" t="s">
        <v>245</v>
      </c>
    </row>
    <row r="24" spans="1:6" x14ac:dyDescent="0.25">
      <c r="D24" s="41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1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8.7109375" customWidth="1"/>
    <col min="5" max="6" width="25.28515625" customWidth="1"/>
    <col min="7" max="9" width="25.28515625" style="41" customWidth="1"/>
    <col min="11" max="11" width="11.7109375" customWidth="1"/>
    <col min="12" max="12" width="10.85546875" customWidth="1"/>
    <col min="13" max="13" width="11.7109375" customWidth="1"/>
    <col min="14" max="14" width="25.42578125" customWidth="1"/>
    <col min="15" max="15" width="14.28515625" customWidth="1"/>
    <col min="16" max="17" width="9.140625" customWidth="1"/>
  </cols>
  <sheetData>
    <row r="1" spans="1:15" ht="42" customHeight="1" x14ac:dyDescent="0.25">
      <c r="A1" s="222" t="s">
        <v>262</v>
      </c>
      <c r="B1" s="222"/>
      <c r="C1" s="222"/>
      <c r="D1" s="222"/>
      <c r="E1" s="222"/>
      <c r="F1" s="222"/>
      <c r="G1" s="222"/>
      <c r="H1" s="222"/>
      <c r="I1" s="222"/>
      <c r="K1">
        <v>7.5345000000000004</v>
      </c>
    </row>
    <row r="2" spans="1:15" ht="18" customHeight="1" x14ac:dyDescent="0.25">
      <c r="A2" s="5"/>
      <c r="B2" s="5"/>
      <c r="C2" s="5"/>
      <c r="D2" s="5"/>
      <c r="E2" s="5"/>
      <c r="F2" s="5"/>
      <c r="G2" s="45"/>
      <c r="H2" s="45"/>
      <c r="I2" s="45"/>
    </row>
    <row r="3" spans="1:15" ht="15.75" x14ac:dyDescent="0.25">
      <c r="A3" s="222" t="s">
        <v>33</v>
      </c>
      <c r="B3" s="222"/>
      <c r="C3" s="222"/>
      <c r="D3" s="222"/>
      <c r="E3" s="222"/>
      <c r="F3" s="222"/>
      <c r="G3" s="222"/>
      <c r="H3" s="224"/>
      <c r="I3" s="224"/>
    </row>
    <row r="4" spans="1:15" ht="18" x14ac:dyDescent="0.25">
      <c r="A4" s="5"/>
      <c r="B4" s="5"/>
      <c r="C4" s="5"/>
      <c r="D4" s="5"/>
      <c r="E4" s="5"/>
      <c r="F4" s="5"/>
      <c r="G4" s="45"/>
      <c r="H4" s="46"/>
      <c r="I4" s="46"/>
    </row>
    <row r="5" spans="1:15" ht="18" customHeight="1" x14ac:dyDescent="0.25">
      <c r="A5" s="222" t="s">
        <v>13</v>
      </c>
      <c r="B5" s="223"/>
      <c r="C5" s="223"/>
      <c r="D5" s="223"/>
      <c r="E5" s="223"/>
      <c r="F5" s="223"/>
      <c r="G5" s="223"/>
      <c r="H5" s="223"/>
      <c r="I5" s="223"/>
    </row>
    <row r="6" spans="1:15" ht="18" x14ac:dyDescent="0.25">
      <c r="A6" s="5"/>
      <c r="B6" s="5"/>
      <c r="C6" s="5"/>
      <c r="D6" s="5"/>
      <c r="E6" s="5"/>
      <c r="F6" s="5"/>
      <c r="G6" s="45"/>
      <c r="H6" s="46"/>
      <c r="I6" s="46"/>
    </row>
    <row r="7" spans="1:15" ht="15.75" x14ac:dyDescent="0.25">
      <c r="A7" s="222" t="s">
        <v>1</v>
      </c>
      <c r="B7" s="248"/>
      <c r="C7" s="248"/>
      <c r="D7" s="248"/>
      <c r="E7" s="248"/>
      <c r="F7" s="248"/>
      <c r="G7" s="248"/>
      <c r="H7" s="248"/>
      <c r="I7" s="248"/>
    </row>
    <row r="8" spans="1:15" ht="18" x14ac:dyDescent="0.25">
      <c r="A8" s="5"/>
      <c r="B8" s="5"/>
      <c r="C8" s="5"/>
      <c r="D8" s="99" t="s">
        <v>256</v>
      </c>
      <c r="E8" s="99">
        <f>E10*7.5345</f>
        <v>10620420.91</v>
      </c>
      <c r="F8" s="45"/>
      <c r="G8" s="45"/>
      <c r="H8" s="46"/>
      <c r="I8" s="46"/>
      <c r="K8" t="s">
        <v>171</v>
      </c>
      <c r="M8" t="s">
        <v>172</v>
      </c>
      <c r="O8" t="s">
        <v>232</v>
      </c>
    </row>
    <row r="9" spans="1:15" ht="27.75" customHeight="1" x14ac:dyDescent="0.25">
      <c r="A9" s="23" t="s">
        <v>14</v>
      </c>
      <c r="B9" s="22" t="s">
        <v>15</v>
      </c>
      <c r="C9" s="22" t="s">
        <v>16</v>
      </c>
      <c r="D9" s="22" t="s">
        <v>12</v>
      </c>
      <c r="E9" s="22" t="s">
        <v>246</v>
      </c>
      <c r="F9" s="23" t="s">
        <v>247</v>
      </c>
      <c r="G9" s="47" t="s">
        <v>253</v>
      </c>
      <c r="H9" s="47" t="s">
        <v>45</v>
      </c>
      <c r="I9" s="47" t="s">
        <v>254</v>
      </c>
    </row>
    <row r="10" spans="1:15" ht="15.75" customHeight="1" x14ac:dyDescent="0.25">
      <c r="A10" s="56"/>
      <c r="B10" s="56"/>
      <c r="C10" s="56"/>
      <c r="D10" s="56" t="s">
        <v>173</v>
      </c>
      <c r="E10" s="57">
        <f t="shared" ref="E10:F10" si="0">E11+E26</f>
        <v>1409572.09</v>
      </c>
      <c r="F10" s="57">
        <f t="shared" si="0"/>
        <v>699132.28</v>
      </c>
      <c r="G10" s="57">
        <f>G11+G26</f>
        <v>1964424.94</v>
      </c>
      <c r="H10" s="57">
        <f t="shared" ref="H10" si="1">H11+H26</f>
        <v>919145.82</v>
      </c>
      <c r="I10" s="57" t="e">
        <f t="shared" ref="I10" si="2">I11+I26</f>
        <v>#DIV/0!</v>
      </c>
      <c r="K10" s="41"/>
    </row>
    <row r="11" spans="1:15" ht="15.75" customHeight="1" x14ac:dyDescent="0.25">
      <c r="A11" s="50">
        <v>6</v>
      </c>
      <c r="B11" s="50"/>
      <c r="C11" s="50"/>
      <c r="D11" s="50" t="s">
        <v>17</v>
      </c>
      <c r="E11" s="51">
        <f>E12+E16+E18+E21+E14</f>
        <v>1409572.09</v>
      </c>
      <c r="F11" s="51">
        <f>F12+F16+F18+F21+F14</f>
        <v>699132.28</v>
      </c>
      <c r="G11" s="51">
        <f>G12+G16+G18+G21+G14</f>
        <v>1964424.94</v>
      </c>
      <c r="H11" s="51">
        <f t="shared" ref="H11:I11" si="3">H12+H16+H18+H21+H14</f>
        <v>919145.82</v>
      </c>
      <c r="I11" s="51" t="e">
        <f t="shared" si="3"/>
        <v>#DIV/0!</v>
      </c>
      <c r="K11" s="41">
        <f>G11+G26</f>
        <v>1964424.94</v>
      </c>
      <c r="M11" s="41" t="e">
        <f>G32+G59</f>
        <v>#REF!</v>
      </c>
      <c r="O11" s="41" t="e">
        <f>M11-K11</f>
        <v>#REF!</v>
      </c>
    </row>
    <row r="12" spans="1:15" ht="38.25" x14ac:dyDescent="0.25">
      <c r="A12" s="43"/>
      <c r="B12" s="44">
        <v>63</v>
      </c>
      <c r="C12" s="44"/>
      <c r="D12" s="44" t="s">
        <v>46</v>
      </c>
      <c r="E12" s="48">
        <f>E13</f>
        <v>1133687.01</v>
      </c>
      <c r="F12" s="48">
        <f>F13</f>
        <v>634354.96</v>
      </c>
      <c r="G12" s="48">
        <f>G13</f>
        <v>1753393.35</v>
      </c>
      <c r="H12" s="48">
        <f t="shared" ref="H12:I12" si="4">H13</f>
        <v>798899.95</v>
      </c>
      <c r="I12" s="48">
        <f t="shared" si="4"/>
        <v>240.62</v>
      </c>
      <c r="K12" s="41"/>
      <c r="O12" s="65">
        <f>'POSEBNI DIO'!G492+'POSEBNI DIO'!G496</f>
        <v>3312.5</v>
      </c>
    </row>
    <row r="13" spans="1:15" x14ac:dyDescent="0.25">
      <c r="A13" s="14"/>
      <c r="B13" s="14"/>
      <c r="C13" s="15" t="s">
        <v>52</v>
      </c>
      <c r="D13" s="15" t="s">
        <v>145</v>
      </c>
      <c r="E13" s="41">
        <f>8541764.81/K1</f>
        <v>1133687.01</v>
      </c>
      <c r="F13" s="49">
        <f>'POSEBNI DIO'!F494</f>
        <v>634354.96</v>
      </c>
      <c r="G13" s="49">
        <f>'POSEBNI DIO'!G494</f>
        <v>1753393.35</v>
      </c>
      <c r="H13" s="49">
        <f>'POSEBNI DIO'!H494</f>
        <v>798899.95</v>
      </c>
      <c r="I13" s="49">
        <f>'POSEBNI DIO'!I494</f>
        <v>240.62</v>
      </c>
    </row>
    <row r="14" spans="1:15" x14ac:dyDescent="0.25">
      <c r="A14" s="43"/>
      <c r="B14" s="44">
        <v>64</v>
      </c>
      <c r="C14" s="44"/>
      <c r="D14" s="44" t="s">
        <v>166</v>
      </c>
      <c r="E14" s="48">
        <f t="shared" ref="E14:F14" si="5">E15</f>
        <v>0.22</v>
      </c>
      <c r="F14" s="48">
        <f t="shared" si="5"/>
        <v>0.3</v>
      </c>
      <c r="G14" s="48">
        <f>G15</f>
        <v>0.3</v>
      </c>
      <c r="H14" s="48">
        <f t="shared" ref="H14:I14" si="6">H15</f>
        <v>0.3</v>
      </c>
      <c r="I14" s="48">
        <f t="shared" si="6"/>
        <v>0.3</v>
      </c>
    </row>
    <row r="15" spans="1:15" x14ac:dyDescent="0.25">
      <c r="A15" s="14"/>
      <c r="B15" s="14"/>
      <c r="C15" s="15" t="s">
        <v>51</v>
      </c>
      <c r="D15" s="15" t="s">
        <v>40</v>
      </c>
      <c r="E15" s="49">
        <f>1.69/K1</f>
        <v>0.22</v>
      </c>
      <c r="F15" s="49">
        <v>0.3</v>
      </c>
      <c r="G15" s="49">
        <v>0.3</v>
      </c>
      <c r="H15" s="49">
        <v>0.3</v>
      </c>
      <c r="I15" s="49">
        <v>0.3</v>
      </c>
      <c r="O15" s="41" t="e">
        <f>O11-O12</f>
        <v>#REF!</v>
      </c>
    </row>
    <row r="16" spans="1:15" ht="25.5" x14ac:dyDescent="0.25">
      <c r="A16" s="43"/>
      <c r="B16" s="44">
        <v>65</v>
      </c>
      <c r="C16" s="44"/>
      <c r="D16" s="44" t="s">
        <v>168</v>
      </c>
      <c r="E16" s="48">
        <f>E17</f>
        <v>44445.72</v>
      </c>
      <c r="F16" s="48">
        <f t="shared" ref="F16" si="7">F17</f>
        <v>10481.81</v>
      </c>
      <c r="G16" s="48">
        <f>G17</f>
        <v>21460</v>
      </c>
      <c r="H16" s="48">
        <f t="shared" ref="H16:I16" si="8">H17</f>
        <v>9036.25</v>
      </c>
      <c r="I16" s="48">
        <f t="shared" si="8"/>
        <v>49.32</v>
      </c>
    </row>
    <row r="17" spans="1:15" ht="25.5" x14ac:dyDescent="0.25">
      <c r="A17" s="14"/>
      <c r="B17" s="29"/>
      <c r="C17" s="16" t="s">
        <v>160</v>
      </c>
      <c r="D17" s="18" t="s">
        <v>47</v>
      </c>
      <c r="E17" s="49">
        <f>334876.28/K1</f>
        <v>44445.72</v>
      </c>
      <c r="F17" s="49">
        <f>'POSEBNI DIO'!F493</f>
        <v>10481.81</v>
      </c>
      <c r="G17" s="49">
        <f>'POSEBNI DIO'!G493</f>
        <v>21460</v>
      </c>
      <c r="H17" s="49">
        <f>'POSEBNI DIO'!H493</f>
        <v>9036.25</v>
      </c>
      <c r="I17" s="49">
        <f>'POSEBNI DIO'!I493</f>
        <v>49.32</v>
      </c>
      <c r="K17" s="41"/>
    </row>
    <row r="18" spans="1:15" ht="25.5" x14ac:dyDescent="0.25">
      <c r="A18" s="43"/>
      <c r="B18" s="44">
        <v>66</v>
      </c>
      <c r="C18" s="44"/>
      <c r="D18" s="44" t="s">
        <v>167</v>
      </c>
      <c r="E18" s="48">
        <f>SUM(E19:E20)</f>
        <v>859.6</v>
      </c>
      <c r="F18" s="48">
        <f t="shared" ref="F18" si="9">SUM(F19:F20)</f>
        <v>477.5</v>
      </c>
      <c r="G18" s="48">
        <f>SUM(G19:G20)</f>
        <v>13361.76</v>
      </c>
      <c r="H18" s="48">
        <f t="shared" ref="H18:I18" si="10">SUM(H19:H20)</f>
        <v>7158.37</v>
      </c>
      <c r="I18" s="48">
        <f t="shared" si="10"/>
        <v>227.81</v>
      </c>
    </row>
    <row r="19" spans="1:15" x14ac:dyDescent="0.25">
      <c r="A19" s="14"/>
      <c r="B19" s="14"/>
      <c r="C19" s="15" t="s">
        <v>51</v>
      </c>
      <c r="D19" s="55" t="s">
        <v>40</v>
      </c>
      <c r="E19" s="49">
        <f>2476.69/K1</f>
        <v>328.71</v>
      </c>
      <c r="F19" s="49">
        <v>477.5</v>
      </c>
      <c r="G19" s="49">
        <f>'POSEBNI DIO'!G491-G15</f>
        <v>7561.76</v>
      </c>
      <c r="H19" s="49">
        <f>'POSEBNI DIO'!H491-H15</f>
        <v>1323.81</v>
      </c>
      <c r="I19" s="49">
        <f>'POSEBNI DIO'!I491-I15</f>
        <v>127.21</v>
      </c>
    </row>
    <row r="20" spans="1:15" x14ac:dyDescent="0.25">
      <c r="A20" s="14"/>
      <c r="B20" s="14"/>
      <c r="C20" s="15" t="s">
        <v>217</v>
      </c>
      <c r="D20" s="55" t="s">
        <v>146</v>
      </c>
      <c r="E20" s="49">
        <f>4000/K1</f>
        <v>530.89</v>
      </c>
      <c r="F20" s="49">
        <f>'POSEBNI DIO'!F495</f>
        <v>0</v>
      </c>
      <c r="G20" s="49">
        <f>'POSEBNI DIO'!G495</f>
        <v>5800</v>
      </c>
      <c r="H20" s="49">
        <f>'POSEBNI DIO'!H495</f>
        <v>5834.56</v>
      </c>
      <c r="I20" s="49">
        <f>'POSEBNI DIO'!I495</f>
        <v>100.6</v>
      </c>
    </row>
    <row r="21" spans="1:15" ht="25.5" x14ac:dyDescent="0.25">
      <c r="A21" s="43"/>
      <c r="B21" s="44">
        <v>67</v>
      </c>
      <c r="C21" s="44"/>
      <c r="D21" s="44" t="s">
        <v>169</v>
      </c>
      <c r="E21" s="48">
        <f>SUM(E22:E25)</f>
        <v>230579.54</v>
      </c>
      <c r="F21" s="48">
        <f t="shared" ref="F21" si="11">SUM(F22:F25)</f>
        <v>53817.71</v>
      </c>
      <c r="G21" s="48">
        <f>SUM(G22:G25)</f>
        <v>176209.53</v>
      </c>
      <c r="H21" s="48">
        <f t="shared" ref="H21:I21" si="12">SUM(H22:H25)</f>
        <v>104050.95</v>
      </c>
      <c r="I21" s="48" t="e">
        <f t="shared" si="12"/>
        <v>#DIV/0!</v>
      </c>
      <c r="K21" s="41">
        <f>E21*7.5345</f>
        <v>1737301.54</v>
      </c>
    </row>
    <row r="22" spans="1:15" x14ac:dyDescent="0.25">
      <c r="A22" s="14"/>
      <c r="B22" s="14"/>
      <c r="C22" s="15" t="s">
        <v>155</v>
      </c>
      <c r="D22" s="55" t="s">
        <v>156</v>
      </c>
      <c r="E22" s="41">
        <f>(384223.9/K1)</f>
        <v>50995.28</v>
      </c>
      <c r="F22" s="49">
        <f>'POSEBNI DIO'!F488</f>
        <v>21592.28</v>
      </c>
      <c r="G22" s="49">
        <f>'POSEBNI DIO'!G488</f>
        <v>56996</v>
      </c>
      <c r="H22" s="49">
        <f>'POSEBNI DIO'!H488</f>
        <v>40488.5</v>
      </c>
      <c r="I22" s="49" t="e">
        <f>'POSEBNI DIO'!I488</f>
        <v>#DIV/0!</v>
      </c>
      <c r="K22" s="41"/>
    </row>
    <row r="23" spans="1:15" x14ac:dyDescent="0.25">
      <c r="A23" s="14"/>
      <c r="B23" s="14"/>
      <c r="C23" s="15" t="s">
        <v>50</v>
      </c>
      <c r="D23" s="55" t="s">
        <v>18</v>
      </c>
      <c r="E23" s="49">
        <f>(224968.75+5000+11308.11+4000+4000+28086.89+14770.86+405709.19+394062.31)/K1-0.317</f>
        <v>144920.53</v>
      </c>
      <c r="F23" s="49">
        <f>'POSEBNI DIO'!F489</f>
        <v>7918.47</v>
      </c>
      <c r="G23" s="49">
        <f>'POSEBNI DIO'!G489</f>
        <v>49009.5</v>
      </c>
      <c r="H23" s="49">
        <f>'POSEBNI DIO'!H489</f>
        <v>27759.82</v>
      </c>
      <c r="I23" s="49" t="e">
        <f>'POSEBNI DIO'!I489</f>
        <v>#DIV/0!</v>
      </c>
      <c r="K23" s="41"/>
    </row>
    <row r="24" spans="1:15" x14ac:dyDescent="0.25">
      <c r="A24" s="14"/>
      <c r="B24" s="14"/>
      <c r="C24" s="15" t="s">
        <v>170</v>
      </c>
      <c r="D24" s="55" t="s">
        <v>138</v>
      </c>
      <c r="E24" s="49">
        <f>18313.25/K1</f>
        <v>2430.59</v>
      </c>
      <c r="F24" s="49">
        <v>2256.29</v>
      </c>
      <c r="G24" s="49">
        <f>'POSEBNI DIO'!G487</f>
        <v>1000</v>
      </c>
      <c r="H24" s="49">
        <f>'POSEBNI DIO'!H487</f>
        <v>0</v>
      </c>
      <c r="I24" s="49">
        <f>'POSEBNI DIO'!I487</f>
        <v>0</v>
      </c>
    </row>
    <row r="25" spans="1:15" ht="25.5" x14ac:dyDescent="0.25">
      <c r="A25" s="14"/>
      <c r="B25" s="14"/>
      <c r="C25" s="15" t="s">
        <v>215</v>
      </c>
      <c r="D25" s="55" t="s">
        <v>130</v>
      </c>
      <c r="E25" s="41">
        <f>(159159.1+83701.52)/K1</f>
        <v>32233.14</v>
      </c>
      <c r="F25" s="49">
        <f>'POSEBNI DIO'!F490</f>
        <v>22050.67</v>
      </c>
      <c r="G25" s="49">
        <f>'POSEBNI DIO'!G490</f>
        <v>69204.03</v>
      </c>
      <c r="H25" s="49">
        <f>'POSEBNI DIO'!H490</f>
        <v>35802.629999999997</v>
      </c>
      <c r="I25" s="49" t="e">
        <f>'POSEBNI DIO'!I490</f>
        <v>#DIV/0!</v>
      </c>
      <c r="K25" s="41"/>
    </row>
    <row r="26" spans="1:15" ht="25.5" x14ac:dyDescent="0.25">
      <c r="A26" s="52">
        <v>7</v>
      </c>
      <c r="B26" s="53"/>
      <c r="C26" s="53"/>
      <c r="D26" s="54" t="s">
        <v>19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8" spans="1:15" ht="15.75" x14ac:dyDescent="0.25">
      <c r="A28" s="222" t="s">
        <v>20</v>
      </c>
      <c r="B28" s="248"/>
      <c r="C28" s="248"/>
      <c r="D28" s="248"/>
      <c r="E28" s="248"/>
      <c r="F28" s="248"/>
      <c r="G28" s="248"/>
      <c r="H28" s="248"/>
      <c r="I28" s="248"/>
      <c r="K28" s="41" t="e">
        <f>F31-F29</f>
        <v>#REF!</v>
      </c>
    </row>
    <row r="29" spans="1:15" ht="18" x14ac:dyDescent="0.25">
      <c r="A29" s="5"/>
      <c r="B29" s="5"/>
      <c r="C29" s="5"/>
      <c r="D29" s="99" t="s">
        <v>256</v>
      </c>
      <c r="E29" s="99">
        <v>1412813.27</v>
      </c>
      <c r="F29" s="99">
        <v>1325588.24</v>
      </c>
      <c r="G29" s="45"/>
      <c r="H29" s="46"/>
      <c r="I29" s="46"/>
      <c r="J29" s="41" t="e">
        <f>F29-F31</f>
        <v>#REF!</v>
      </c>
    </row>
    <row r="30" spans="1:15" ht="25.5" x14ac:dyDescent="0.25">
      <c r="A30" s="23" t="s">
        <v>14</v>
      </c>
      <c r="B30" s="22" t="s">
        <v>15</v>
      </c>
      <c r="C30" s="22" t="s">
        <v>16</v>
      </c>
      <c r="D30" s="22" t="s">
        <v>21</v>
      </c>
      <c r="E30" s="22" t="s">
        <v>246</v>
      </c>
      <c r="F30" s="23" t="s">
        <v>247</v>
      </c>
      <c r="G30" s="47" t="s">
        <v>253</v>
      </c>
      <c r="H30" s="47" t="s">
        <v>45</v>
      </c>
      <c r="I30" s="47" t="s">
        <v>254</v>
      </c>
      <c r="M30" s="41">
        <v>1412813.26</v>
      </c>
      <c r="N30" s="41" t="e">
        <f>E31-M30</f>
        <v>#DIV/0!</v>
      </c>
      <c r="O30" s="41">
        <v>4602.04</v>
      </c>
    </row>
    <row r="31" spans="1:15" ht="15.75" customHeight="1" x14ac:dyDescent="0.25">
      <c r="A31" s="56"/>
      <c r="B31" s="56"/>
      <c r="C31" s="56"/>
      <c r="D31" s="56" t="s">
        <v>174</v>
      </c>
      <c r="E31" s="57" t="e">
        <f>E32+E59</f>
        <v>#DIV/0!</v>
      </c>
      <c r="F31" s="57" t="e">
        <f>F32+F59+0.02</f>
        <v>#REF!</v>
      </c>
      <c r="G31" s="57" t="e">
        <f t="shared" ref="G31:I31" si="13">G32+G59</f>
        <v>#REF!</v>
      </c>
      <c r="H31" s="57" t="e">
        <f t="shared" si="13"/>
        <v>#REF!</v>
      </c>
      <c r="I31" s="57" t="e">
        <f t="shared" si="13"/>
        <v>#DIV/0!</v>
      </c>
      <c r="K31" s="41" t="s">
        <v>137</v>
      </c>
      <c r="M31" s="41">
        <v>2256.29</v>
      </c>
    </row>
    <row r="32" spans="1:15" ht="15.75" customHeight="1" x14ac:dyDescent="0.25">
      <c r="A32" s="50">
        <v>3</v>
      </c>
      <c r="B32" s="50"/>
      <c r="C32" s="50"/>
      <c r="D32" s="50" t="s">
        <v>22</v>
      </c>
      <c r="E32" s="51" t="e">
        <f>E33+E37+E47+E52+E54+E56</f>
        <v>#DIV/0!</v>
      </c>
      <c r="F32" s="51" t="e">
        <f t="shared" ref="F32:I32" si="14">F33+F37+F47+F52+F54+F56</f>
        <v>#REF!</v>
      </c>
      <c r="G32" s="51" t="e">
        <f t="shared" si="14"/>
        <v>#REF!</v>
      </c>
      <c r="H32" s="51" t="e">
        <f t="shared" si="14"/>
        <v>#REF!</v>
      </c>
      <c r="I32" s="51" t="e">
        <f t="shared" si="14"/>
        <v>#DIV/0!</v>
      </c>
      <c r="K32" s="41" t="s">
        <v>118</v>
      </c>
      <c r="M32" s="41">
        <v>47411.76</v>
      </c>
      <c r="N32" s="41">
        <f>F39+F48</f>
        <v>21592.28</v>
      </c>
    </row>
    <row r="33" spans="1:17" ht="15.75" customHeight="1" x14ac:dyDescent="0.25">
      <c r="A33" s="43"/>
      <c r="B33" s="44">
        <v>31</v>
      </c>
      <c r="C33" s="44"/>
      <c r="D33" s="44" t="s">
        <v>23</v>
      </c>
      <c r="E33" s="98" t="e">
        <f>SUM(E34:E36)</f>
        <v>#DIV/0!</v>
      </c>
      <c r="F33" s="98" t="e">
        <f t="shared" ref="F33:I33" si="15">SUM(F34:F36)</f>
        <v>#REF!</v>
      </c>
      <c r="G33" s="98" t="e">
        <f t="shared" si="15"/>
        <v>#REF!</v>
      </c>
      <c r="H33" s="98" t="e">
        <f>SUM(H34:H36)</f>
        <v>#REF!</v>
      </c>
      <c r="I33" s="98" t="e">
        <f t="shared" si="15"/>
        <v>#DIV/0!</v>
      </c>
      <c r="K33" s="41" t="s">
        <v>124</v>
      </c>
      <c r="L33" s="41"/>
      <c r="M33" s="41">
        <v>8370.7099999999991</v>
      </c>
      <c r="N33" s="96" t="e">
        <f>E34+E38+E61+E68</f>
        <v>#DIV/0!</v>
      </c>
      <c r="O33" s="96" t="e">
        <f>F34+F38+F61+F68</f>
        <v>#REF!</v>
      </c>
    </row>
    <row r="34" spans="1:17" x14ac:dyDescent="0.25">
      <c r="A34" s="14"/>
      <c r="B34" s="14"/>
      <c r="C34" s="15" t="s">
        <v>50</v>
      </c>
      <c r="D34" s="15" t="s">
        <v>18</v>
      </c>
      <c r="E34" s="49" t="e">
        <f>'POSEBNI DIO'!E101+'POSEBNI DIO'!E128+'POSEBNI DIO'!E155+'POSEBNI DIO'!E182+'POSEBNI DIO'!E205+'POSEBNI DIO'!#REF!+'POSEBNI DIO'!E239</f>
        <v>#DIV/0!</v>
      </c>
      <c r="F34" s="49" t="e">
        <f>'POSEBNI DIO'!F101+'POSEBNI DIO'!F128+'POSEBNI DIO'!F155+'POSEBNI DIO'!F182+'POSEBNI DIO'!F205+'POSEBNI DIO'!#REF!+'POSEBNI DIO'!F239</f>
        <v>#REF!</v>
      </c>
      <c r="G34" s="49" t="e">
        <f>'POSEBNI DIO'!G101+'POSEBNI DIO'!G128+'POSEBNI DIO'!G155+'POSEBNI DIO'!G182+'POSEBNI DIO'!G205+'POSEBNI DIO'!#REF!+'POSEBNI DIO'!G239</f>
        <v>#REF!</v>
      </c>
      <c r="H34" s="49" t="e">
        <f>'POSEBNI DIO'!H101+'POSEBNI DIO'!H128+'POSEBNI DIO'!H155+'POSEBNI DIO'!H182+'POSEBNI DIO'!H205+'POSEBNI DIO'!#REF!+'POSEBNI DIO'!H239</f>
        <v>#REF!</v>
      </c>
      <c r="I34" s="49" t="e">
        <f>'POSEBNI DIO'!I101+'POSEBNI DIO'!I128+'POSEBNI DIO'!I155+'POSEBNI DIO'!I182+'POSEBNI DIO'!I205+'POSEBNI DIO'!#REF!+'POSEBNI DIO'!I239</f>
        <v>#DIV/0!</v>
      </c>
      <c r="K34" s="41" t="s">
        <v>237</v>
      </c>
      <c r="M34" s="41">
        <v>25688.74</v>
      </c>
      <c r="N34" s="41" t="e">
        <f>E35+E40</f>
        <v>#DIV/0!</v>
      </c>
      <c r="O34" s="41" t="e">
        <f t="shared" ref="O34" si="16">F35+F40</f>
        <v>#REF!</v>
      </c>
      <c r="P34" s="41"/>
      <c r="Q34" s="41"/>
    </row>
    <row r="35" spans="1:17" x14ac:dyDescent="0.25">
      <c r="A35" s="14"/>
      <c r="B35" s="14"/>
      <c r="C35" s="15" t="s">
        <v>255</v>
      </c>
      <c r="D35" s="15" t="s">
        <v>157</v>
      </c>
      <c r="E35" s="49" t="e">
        <f>'POSEBNI DIO'!E114+'POSEBNI DIO'!E141+'POSEBNI DIO'!E168+'POSEBNI DIO'!E182+'POSEBNI DIO'!E195+'POSEBNI DIO'!E214+'POSEBNI DIO'!#REF!</f>
        <v>#DIV/0!</v>
      </c>
      <c r="F35" s="49" t="e">
        <f>'POSEBNI DIO'!#REF!+'POSEBNI DIO'!F114+'POSEBNI DIO'!F141+'POSEBNI DIO'!F168+'POSEBNI DIO'!F195+'POSEBNI DIO'!F214</f>
        <v>#REF!</v>
      </c>
      <c r="G35" s="49" t="e">
        <f>'POSEBNI DIO'!#REF!+'POSEBNI DIO'!G114+'POSEBNI DIO'!G141+'POSEBNI DIO'!G168+'POSEBNI DIO'!G195+'POSEBNI DIO'!G214</f>
        <v>#REF!</v>
      </c>
      <c r="H35" s="49" t="e">
        <f>'POSEBNI DIO'!#REF!+'POSEBNI DIO'!H114+'POSEBNI DIO'!H141+'POSEBNI DIO'!H168+'POSEBNI DIO'!H195+'POSEBNI DIO'!H214</f>
        <v>#REF!</v>
      </c>
      <c r="I35" s="49" t="e">
        <f>'POSEBNI DIO'!#REF!+'POSEBNI DIO'!I114+'POSEBNI DIO'!I141+'POSEBNI DIO'!I168+'POSEBNI DIO'!I195+'POSEBNI DIO'!I214</f>
        <v>#REF!</v>
      </c>
      <c r="K35" t="s">
        <v>133</v>
      </c>
      <c r="M35" s="41">
        <v>3238.44</v>
      </c>
      <c r="N35" s="96" t="e">
        <f>E41+E63+E49</f>
        <v>#DIV/0!</v>
      </c>
      <c r="O35" s="96">
        <f>F41+F63+F49</f>
        <v>595.95000000000005</v>
      </c>
      <c r="P35" s="41">
        <f>M35-O35</f>
        <v>2642.49</v>
      </c>
    </row>
    <row r="36" spans="1:17" x14ac:dyDescent="0.25">
      <c r="A36" s="14"/>
      <c r="B36" s="14"/>
      <c r="C36" s="15" t="s">
        <v>52</v>
      </c>
      <c r="D36" s="15" t="s">
        <v>145</v>
      </c>
      <c r="E36" s="49" t="e">
        <f>'POSEBNI DIO'!E384</f>
        <v>#DIV/0!</v>
      </c>
      <c r="F36" s="49">
        <f>'POSEBNI DIO'!F384</f>
        <v>546185.29</v>
      </c>
      <c r="G36" s="49">
        <f>'POSEBNI DIO'!G384</f>
        <v>1566762</v>
      </c>
      <c r="H36" s="49">
        <f>'POSEBNI DIO'!H384</f>
        <v>716357.92</v>
      </c>
      <c r="I36" s="49">
        <f>'POSEBNI DIO'!I384</f>
        <v>45.72</v>
      </c>
      <c r="K36" t="s">
        <v>140</v>
      </c>
      <c r="M36" s="41">
        <v>5339.31</v>
      </c>
    </row>
    <row r="37" spans="1:17" x14ac:dyDescent="0.25">
      <c r="A37" s="43"/>
      <c r="B37" s="44">
        <v>32</v>
      </c>
      <c r="C37" s="44"/>
      <c r="D37" s="44" t="s">
        <v>36</v>
      </c>
      <c r="E37" s="48" t="e">
        <f>SUM(E38:E46)</f>
        <v>#DIV/0!</v>
      </c>
      <c r="F37" s="48" t="e">
        <f>SUM(F38:F46)</f>
        <v>#REF!</v>
      </c>
      <c r="G37" s="48" t="e">
        <f>SUM(G38:G46)</f>
        <v>#REF!</v>
      </c>
      <c r="H37" s="48" t="e">
        <f>SUM(H38:H46)</f>
        <v>#REF!</v>
      </c>
      <c r="I37" s="48" t="e">
        <f>SUM(I38:I46)</f>
        <v>#DIV/0!</v>
      </c>
      <c r="K37" s="41" t="s">
        <v>142</v>
      </c>
      <c r="L37" s="41"/>
      <c r="M37" s="41">
        <v>43065.24</v>
      </c>
      <c r="N37" s="41">
        <f>F43</f>
        <v>10481.81</v>
      </c>
    </row>
    <row r="38" spans="1:17" x14ac:dyDescent="0.25">
      <c r="A38" s="14"/>
      <c r="B38" s="14"/>
      <c r="C38" s="15" t="s">
        <v>50</v>
      </c>
      <c r="D38" s="15" t="s">
        <v>18</v>
      </c>
      <c r="E38" s="49" t="e">
        <f>'POSEBNI DIO'!E70+'POSEBNI DIO'!E82+'POSEBNI DIO'!E89+'POSEBNI DIO'!E95+'POSEBNI DIO'!E108+'POSEBNI DIO'!E135+'POSEBNI DIO'!E162+'POSEBNI DIO'!E189+'POSEBNI DIO'!E209+'POSEBNI DIO'!#REF!+'POSEBNI DIO'!E251</f>
        <v>#DIV/0!</v>
      </c>
      <c r="F38" s="49" t="e">
        <f>'POSEBNI DIO'!F70+'POSEBNI DIO'!F82+'POSEBNI DIO'!F89+'POSEBNI DIO'!F95+'POSEBNI DIO'!#REF!+'POSEBNI DIO'!F108+'POSEBNI DIO'!F135+'POSEBNI DIO'!F162+'POSEBNI DIO'!F189+'POSEBNI DIO'!F209+'POSEBNI DIO'!F251</f>
        <v>#REF!</v>
      </c>
      <c r="G38" s="49" t="e">
        <f>'POSEBNI DIO'!G70+'POSEBNI DIO'!G82+'POSEBNI DIO'!G89+'POSEBNI DIO'!G95+'POSEBNI DIO'!#REF!+'POSEBNI DIO'!G108+'POSEBNI DIO'!G135+'POSEBNI DIO'!G162+'POSEBNI DIO'!G189+'POSEBNI DIO'!G209+'POSEBNI DIO'!G251</f>
        <v>#REF!</v>
      </c>
      <c r="H38" s="49" t="e">
        <f>'POSEBNI DIO'!H70+'POSEBNI DIO'!H82+'POSEBNI DIO'!H89+'POSEBNI DIO'!H95+'POSEBNI DIO'!#REF!+'POSEBNI DIO'!H108+'POSEBNI DIO'!H135+'POSEBNI DIO'!H162+'POSEBNI DIO'!H189+'POSEBNI DIO'!H209+'POSEBNI DIO'!H251</f>
        <v>#REF!</v>
      </c>
      <c r="I38" s="49" t="e">
        <f>'POSEBNI DIO'!I70+'POSEBNI DIO'!I82+'POSEBNI DIO'!I89+'POSEBNI DIO'!I95+'POSEBNI DIO'!#REF!+'POSEBNI DIO'!I108+'POSEBNI DIO'!I135+'POSEBNI DIO'!I162+'POSEBNI DIO'!I189+'POSEBNI DIO'!I209+'POSEBNI DIO'!I251</f>
        <v>#DIV/0!</v>
      </c>
      <c r="K38" t="s">
        <v>144</v>
      </c>
      <c r="M38" s="41">
        <v>1188824.1499999999</v>
      </c>
      <c r="N38" s="41" t="e">
        <f>E36+E44+E50+E66</f>
        <v>#DIV/0!</v>
      </c>
    </row>
    <row r="39" spans="1:17" x14ac:dyDescent="0.25">
      <c r="A39" s="14"/>
      <c r="B39" s="29"/>
      <c r="C39" s="15" t="s">
        <v>155</v>
      </c>
      <c r="D39" s="15" t="s">
        <v>156</v>
      </c>
      <c r="E39" s="49" t="e">
        <f>'POSEBNI DIO'!E29+'POSEBNI DIO'!E58+'POSEBNI DIO'!E65</f>
        <v>#DIV/0!</v>
      </c>
      <c r="F39" s="49">
        <f>'POSEBNI DIO'!F29+'POSEBNI DIO'!F58</f>
        <v>21106.83</v>
      </c>
      <c r="G39" s="49">
        <f>'POSEBNI DIO'!G29+'POSEBNI DIO'!G58</f>
        <v>56046</v>
      </c>
      <c r="H39" s="49">
        <f>'POSEBNI DIO'!H29+'POSEBNI DIO'!H58</f>
        <v>39994.32</v>
      </c>
      <c r="I39" s="49">
        <f>'POSEBNI DIO'!I29+'POSEBNI DIO'!I58</f>
        <v>113.25</v>
      </c>
      <c r="K39" t="s">
        <v>226</v>
      </c>
      <c r="M39" s="41">
        <v>530.89</v>
      </c>
    </row>
    <row r="40" spans="1:17" x14ac:dyDescent="0.25">
      <c r="A40" s="14"/>
      <c r="B40" s="14"/>
      <c r="C40" s="15" t="s">
        <v>255</v>
      </c>
      <c r="D40" s="15" t="s">
        <v>157</v>
      </c>
      <c r="E40" s="49" t="e">
        <f>'POSEBNI DIO'!E121+'POSEBNI DIO'!E148+'POSEBNI DIO'!E175+'POSEBNI DIO'!E199+'POSEBNI DIO'!#REF!</f>
        <v>#REF!</v>
      </c>
      <c r="F40" s="49" t="e">
        <f>'POSEBNI DIO'!F121+'POSEBNI DIO'!F148+'POSEBNI DIO'!F175+'POSEBNI DIO'!F199+'POSEBNI DIO'!#REF!</f>
        <v>#REF!</v>
      </c>
      <c r="G40" s="49" t="e">
        <f>'POSEBNI DIO'!G121+'POSEBNI DIO'!G148+'POSEBNI DIO'!G175+'POSEBNI DIO'!G199+'POSEBNI DIO'!#REF!</f>
        <v>#REF!</v>
      </c>
      <c r="H40" s="49" t="e">
        <f>'POSEBNI DIO'!H121+'POSEBNI DIO'!H148+'POSEBNI DIO'!H175+'POSEBNI DIO'!H199+'POSEBNI DIO'!#REF!</f>
        <v>#REF!</v>
      </c>
      <c r="I40" s="49" t="e">
        <f>'POSEBNI DIO'!I121+'POSEBNI DIO'!I148+'POSEBNI DIO'!I175+'POSEBNI DIO'!I199+'POSEBNI DIO'!#REF!+'POSEBNI DIO'!I218</f>
        <v>#REF!</v>
      </c>
      <c r="K40" t="s">
        <v>202</v>
      </c>
      <c r="M40" s="41">
        <v>862.69</v>
      </c>
    </row>
    <row r="41" spans="1:17" x14ac:dyDescent="0.25">
      <c r="A41" s="14"/>
      <c r="B41" s="29"/>
      <c r="C41" s="15" t="s">
        <v>51</v>
      </c>
      <c r="D41" s="15" t="s">
        <v>40</v>
      </c>
      <c r="E41" s="49" t="e">
        <f>'POSEBNI DIO'!E263</f>
        <v>#DIV/0!</v>
      </c>
      <c r="F41" s="49">
        <f>'POSEBNI DIO'!F263+'POSEBNI DIO'!F406+'POSEBNI DIO'!F444+'POSEBNI DIO'!F460</f>
        <v>545.73</v>
      </c>
      <c r="G41" s="49">
        <f>'POSEBNI DIO'!G263+'POSEBNI DIO'!G406+'POSEBNI DIO'!G444+'POSEBNI DIO'!G460</f>
        <v>3492.06</v>
      </c>
      <c r="H41" s="49">
        <f>'POSEBNI DIO'!H263+'POSEBNI DIO'!H406+'POSEBNI DIO'!H444+'POSEBNI DIO'!H460</f>
        <v>194.77</v>
      </c>
      <c r="I41" s="49">
        <f>'POSEBNI DIO'!I263+'POSEBNI DIO'!I406+'POSEBNI DIO'!I444+'POSEBNI DIO'!I460</f>
        <v>113.63</v>
      </c>
      <c r="M41" s="41">
        <v>0</v>
      </c>
    </row>
    <row r="42" spans="1:17" x14ac:dyDescent="0.25">
      <c r="A42" s="14"/>
      <c r="B42" s="29"/>
      <c r="C42" s="15" t="s">
        <v>158</v>
      </c>
      <c r="D42" s="15" t="s">
        <v>159</v>
      </c>
      <c r="E42" s="49">
        <v>0</v>
      </c>
      <c r="F42" s="49">
        <f>'POSEBNI DIO'!F492</f>
        <v>0</v>
      </c>
      <c r="G42" s="49">
        <f>'POSEBNI DIO'!G492</f>
        <v>0</v>
      </c>
      <c r="H42" s="49">
        <f>'POSEBNI DIO'!H492</f>
        <v>0</v>
      </c>
      <c r="I42" s="49">
        <f>'POSEBNI DIO'!I492</f>
        <v>0</v>
      </c>
      <c r="M42" s="41"/>
    </row>
    <row r="43" spans="1:17" x14ac:dyDescent="0.25">
      <c r="A43" s="14"/>
      <c r="B43" s="29"/>
      <c r="C43" s="15" t="s">
        <v>160</v>
      </c>
      <c r="D43" s="15" t="s">
        <v>143</v>
      </c>
      <c r="E43" s="49" t="e">
        <f>'POSEBNI DIO'!E323+'POSEBNI DIO'!E416</f>
        <v>#DIV/0!</v>
      </c>
      <c r="F43" s="49">
        <f>'POSEBNI DIO'!F323+'POSEBNI DIO'!F416</f>
        <v>10481.81</v>
      </c>
      <c r="G43" s="49">
        <f>'POSEBNI DIO'!G323+'POSEBNI DIO'!G416</f>
        <v>21450</v>
      </c>
      <c r="H43" s="49">
        <f>'POSEBNI DIO'!H323+'POSEBNI DIO'!H416</f>
        <v>9036.25</v>
      </c>
      <c r="I43" s="49">
        <f>'POSEBNI DIO'!I323+'POSEBNI DIO'!I416</f>
        <v>49.34</v>
      </c>
    </row>
    <row r="44" spans="1:17" x14ac:dyDescent="0.25">
      <c r="A44" s="14"/>
      <c r="B44" s="29"/>
      <c r="C44" s="15" t="s">
        <v>52</v>
      </c>
      <c r="D44" s="15" t="s">
        <v>145</v>
      </c>
      <c r="E44" s="49" t="e">
        <f>'POSEBNI DIO'!E336+'POSEBNI DIO'!E392+'POSEBNI DIO'!E422+'POSEBNI DIO'!E449</f>
        <v>#DIV/0!</v>
      </c>
      <c r="F44" s="49">
        <f>'POSEBNI DIO'!F336+'POSEBNI DIO'!F392+'POSEBNI DIO'!F422+'POSEBNI DIO'!F449+'POSEBNI DIO'!F465</f>
        <v>87812.83</v>
      </c>
      <c r="G44" s="49">
        <f>'POSEBNI DIO'!G336+'POSEBNI DIO'!G392+'POSEBNI DIO'!G422+'POSEBNI DIO'!G449+'POSEBNI DIO'!G465</f>
        <v>182661.35</v>
      </c>
      <c r="H44" s="49">
        <f>'POSEBNI DIO'!H336+'POSEBNI DIO'!H392+'POSEBNI DIO'!H422+'POSEBNI DIO'!H449+'POSEBNI DIO'!H465</f>
        <v>81483.179999999993</v>
      </c>
      <c r="I44" s="49">
        <f>'POSEBNI DIO'!I336+'POSEBNI DIO'!I392+'POSEBNI DIO'!I422+'POSEBNI DIO'!I449+'POSEBNI DIO'!I465</f>
        <v>161.63</v>
      </c>
    </row>
    <row r="45" spans="1:17" x14ac:dyDescent="0.25">
      <c r="A45" s="14"/>
      <c r="B45" s="29"/>
      <c r="C45" s="69" t="s">
        <v>216</v>
      </c>
      <c r="D45" s="15" t="s">
        <v>176</v>
      </c>
      <c r="E45" s="49">
        <f>'POSEBNI DIO'!E435</f>
        <v>0</v>
      </c>
      <c r="F45" s="49">
        <f>'POSEBNI DIO'!F435</f>
        <v>0</v>
      </c>
      <c r="G45" s="49">
        <f>'POSEBNI DIO'!G435</f>
        <v>0</v>
      </c>
      <c r="H45" s="49">
        <f>'POSEBNI DIO'!H435</f>
        <v>0</v>
      </c>
      <c r="I45" s="49">
        <f>'POSEBNI DIO'!I435</f>
        <v>0</v>
      </c>
    </row>
    <row r="46" spans="1:17" x14ac:dyDescent="0.25">
      <c r="A46" s="14"/>
      <c r="B46" s="29"/>
      <c r="C46" s="15" t="s">
        <v>161</v>
      </c>
      <c r="D46" s="15" t="s">
        <v>146</v>
      </c>
      <c r="E46" s="49">
        <f>'POSEBNI DIO'!E372</f>
        <v>530.89</v>
      </c>
      <c r="F46" s="49">
        <f>'POSEBNI DIO'!F372</f>
        <v>0</v>
      </c>
      <c r="G46" s="49">
        <f>'POSEBNI DIO'!G372</f>
        <v>800</v>
      </c>
      <c r="H46" s="49">
        <f>'POSEBNI DIO'!H372</f>
        <v>1132</v>
      </c>
      <c r="I46" s="49">
        <f>'POSEBNI DIO'!I372</f>
        <v>141.5</v>
      </c>
    </row>
    <row r="47" spans="1:17" x14ac:dyDescent="0.25">
      <c r="A47" s="43"/>
      <c r="B47" s="44">
        <v>34</v>
      </c>
      <c r="C47" s="44"/>
      <c r="D47" s="44" t="s">
        <v>98</v>
      </c>
      <c r="E47" s="98">
        <f>SUM(E48:E51)</f>
        <v>4602.04</v>
      </c>
      <c r="F47" s="98">
        <f t="shared" ref="F47:I47" si="17">SUM(F48:F51)</f>
        <v>842.29</v>
      </c>
      <c r="G47" s="98">
        <f t="shared" si="17"/>
        <v>1040</v>
      </c>
      <c r="H47" s="98">
        <f t="shared" si="17"/>
        <v>494.46</v>
      </c>
      <c r="I47" s="98">
        <f t="shared" si="17"/>
        <v>52.42</v>
      </c>
      <c r="K47" s="41">
        <f>'POSEBNI DIO'!E481</f>
        <v>4602.04</v>
      </c>
      <c r="L47" s="41">
        <f>E47-K47</f>
        <v>0</v>
      </c>
    </row>
    <row r="48" spans="1:17" x14ac:dyDescent="0.25">
      <c r="A48" s="14"/>
      <c r="B48" s="29"/>
      <c r="C48" s="15" t="s">
        <v>155</v>
      </c>
      <c r="D48" s="15" t="s">
        <v>156</v>
      </c>
      <c r="E48" s="49">
        <f>'POSEBNI DIO'!E52</f>
        <v>1021.97</v>
      </c>
      <c r="F48" s="49">
        <f>'POSEBNI DIO'!F52</f>
        <v>485.45</v>
      </c>
      <c r="G48" s="49">
        <f>'POSEBNI DIO'!G52</f>
        <v>950</v>
      </c>
      <c r="H48" s="49">
        <f>'POSEBNI DIO'!H52</f>
        <v>494.18</v>
      </c>
      <c r="I48" s="49">
        <f>'POSEBNI DIO'!I52</f>
        <v>52.02</v>
      </c>
    </row>
    <row r="49" spans="1:14" x14ac:dyDescent="0.25">
      <c r="A49" s="14"/>
      <c r="B49" s="29"/>
      <c r="C49" s="15" t="s">
        <v>51</v>
      </c>
      <c r="D49" s="15" t="s">
        <v>40</v>
      </c>
      <c r="E49" s="49">
        <f>'POSEBNI DIO'!E282</f>
        <v>50.05</v>
      </c>
      <c r="F49" s="49">
        <f>'POSEBNI DIO'!F282</f>
        <v>0</v>
      </c>
      <c r="G49" s="49">
        <f>'POSEBNI DIO'!G282</f>
        <v>70</v>
      </c>
      <c r="H49" s="49">
        <f>'POSEBNI DIO'!H282</f>
        <v>0.28000000000000003</v>
      </c>
      <c r="I49" s="49">
        <f>'POSEBNI DIO'!I282</f>
        <v>0.4</v>
      </c>
    </row>
    <row r="50" spans="1:14" x14ac:dyDescent="0.25">
      <c r="A50" s="14"/>
      <c r="B50" s="29"/>
      <c r="C50" s="15" t="s">
        <v>52</v>
      </c>
      <c r="D50" s="15" t="s">
        <v>145</v>
      </c>
      <c r="E50" s="49">
        <f>'POSEBNI DIO'!E360+'POSEBNI DIO'!E400+'POSEBNI DIO'!E452</f>
        <v>3530.02</v>
      </c>
      <c r="F50" s="49">
        <f>'POSEBNI DIO'!F360+'POSEBNI DIO'!F400+'POSEBNI DIO'!F452</f>
        <v>356.84</v>
      </c>
      <c r="G50" s="49">
        <f>'POSEBNI DIO'!G360+'POSEBNI DIO'!G400+'POSEBNI DIO'!G452</f>
        <v>20</v>
      </c>
      <c r="H50" s="49">
        <f>'POSEBNI DIO'!H360+'POSEBNI DIO'!H400+'POSEBNI DIO'!H452</f>
        <v>0</v>
      </c>
      <c r="I50" s="49">
        <f>'POSEBNI DIO'!I360+'POSEBNI DIO'!I400+'POSEBNI DIO'!I452</f>
        <v>0</v>
      </c>
    </row>
    <row r="51" spans="1:14" x14ac:dyDescent="0.25">
      <c r="A51" s="14"/>
      <c r="B51" s="14"/>
      <c r="C51" s="15" t="s">
        <v>217</v>
      </c>
      <c r="D51" s="15" t="s">
        <v>146</v>
      </c>
      <c r="E51" s="49">
        <v>0</v>
      </c>
      <c r="F51" s="49"/>
      <c r="G51" s="49"/>
      <c r="H51" s="49"/>
      <c r="I51" s="49"/>
    </row>
    <row r="52" spans="1:14" x14ac:dyDescent="0.25">
      <c r="A52" s="43"/>
      <c r="B52" s="44">
        <v>38</v>
      </c>
      <c r="C52" s="44"/>
      <c r="D52" s="44" t="s">
        <v>102</v>
      </c>
      <c r="E52" s="48">
        <f t="shared" ref="E52:I54" si="18">SUM(E53:E53)</f>
        <v>0</v>
      </c>
      <c r="F52" s="48">
        <f t="shared" si="18"/>
        <v>0</v>
      </c>
      <c r="G52" s="48">
        <f t="shared" si="18"/>
        <v>0</v>
      </c>
      <c r="H52" s="48">
        <f t="shared" si="18"/>
        <v>0</v>
      </c>
      <c r="I52" s="48">
        <f t="shared" si="18"/>
        <v>0</v>
      </c>
      <c r="K52" s="41">
        <f>'POSEBNI DIO'!E482</f>
        <v>3098.03</v>
      </c>
      <c r="L52" s="41"/>
    </row>
    <row r="53" spans="1:14" x14ac:dyDescent="0.25">
      <c r="A53" s="14"/>
      <c r="B53" s="14"/>
      <c r="C53" s="15" t="s">
        <v>162</v>
      </c>
      <c r="D53" s="15" t="s">
        <v>163</v>
      </c>
      <c r="E53" s="49"/>
      <c r="F53" s="49"/>
      <c r="G53" s="49"/>
      <c r="H53" s="49"/>
      <c r="I53" s="49"/>
    </row>
    <row r="54" spans="1:14" ht="24" customHeight="1" x14ac:dyDescent="0.25">
      <c r="A54" s="43"/>
      <c r="B54" s="44">
        <v>37</v>
      </c>
      <c r="C54" s="44"/>
      <c r="D54" s="44" t="s">
        <v>139</v>
      </c>
      <c r="E54" s="48">
        <f t="shared" si="18"/>
        <v>3098.03</v>
      </c>
      <c r="F54" s="48">
        <f t="shared" si="18"/>
        <v>1567.39</v>
      </c>
      <c r="G54" s="48">
        <f>SUM(G55:G55)</f>
        <v>1000</v>
      </c>
      <c r="H54" s="48">
        <f t="shared" ref="H54:I54" si="19">SUM(H55:H55)</f>
        <v>0</v>
      </c>
      <c r="I54" s="48">
        <f t="shared" si="19"/>
        <v>0</v>
      </c>
      <c r="K54" s="41"/>
      <c r="L54" s="41"/>
    </row>
    <row r="55" spans="1:14" x14ac:dyDescent="0.25">
      <c r="A55" s="14"/>
      <c r="B55" s="14"/>
      <c r="C55" s="15" t="s">
        <v>162</v>
      </c>
      <c r="D55" s="15" t="s">
        <v>163</v>
      </c>
      <c r="E55" s="49">
        <f>'POSEBNI DIO'!E10</f>
        <v>3098.03</v>
      </c>
      <c r="F55" s="49">
        <f>'POSEBNI DIO'!F10</f>
        <v>1567.39</v>
      </c>
      <c r="G55" s="49">
        <f>'POSEBNI DIO'!G10</f>
        <v>1000</v>
      </c>
      <c r="H55" s="49">
        <f>'POSEBNI DIO'!H10</f>
        <v>0</v>
      </c>
      <c r="I55" s="49">
        <f>'POSEBNI DIO'!I10</f>
        <v>0</v>
      </c>
    </row>
    <row r="56" spans="1:14" x14ac:dyDescent="0.25">
      <c r="A56" s="43"/>
      <c r="B56" s="44">
        <v>38</v>
      </c>
      <c r="C56" s="44"/>
      <c r="D56" s="44" t="s">
        <v>101</v>
      </c>
      <c r="E56" s="48">
        <f>SUM(E57:E58)</f>
        <v>0</v>
      </c>
      <c r="F56" s="48">
        <f>SUM(F58:F58)</f>
        <v>0</v>
      </c>
      <c r="G56" s="48">
        <f>SUM(G58:G58)</f>
        <v>14975</v>
      </c>
      <c r="H56" s="48">
        <f>SUM(H58:H58)</f>
        <v>14975</v>
      </c>
      <c r="I56" s="48">
        <f>SUM(I58:I58)</f>
        <v>100</v>
      </c>
      <c r="K56" s="41">
        <f>'POSEBNI DIO'!E483</f>
        <v>0</v>
      </c>
      <c r="L56" s="41">
        <f>E56-K56</f>
        <v>0</v>
      </c>
    </row>
    <row r="57" spans="1:14" x14ac:dyDescent="0.25">
      <c r="A57" s="14"/>
      <c r="B57" s="29"/>
      <c r="C57" s="15" t="s">
        <v>158</v>
      </c>
      <c r="D57" s="15" t="s">
        <v>159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</row>
    <row r="58" spans="1:14" x14ac:dyDescent="0.25">
      <c r="A58" s="14"/>
      <c r="B58" s="14"/>
      <c r="C58" s="15" t="s">
        <v>217</v>
      </c>
      <c r="D58" s="15" t="s">
        <v>146</v>
      </c>
      <c r="E58" s="49">
        <v>0</v>
      </c>
      <c r="F58" s="49"/>
      <c r="G58" s="49">
        <f>'POSEBNI DIO'!G15</f>
        <v>14975</v>
      </c>
      <c r="H58" s="49">
        <f>'POSEBNI DIO'!H15</f>
        <v>14975</v>
      </c>
      <c r="I58" s="49">
        <f>'POSEBNI DIO'!I15</f>
        <v>100</v>
      </c>
    </row>
    <row r="59" spans="1:14" ht="25.5" x14ac:dyDescent="0.25">
      <c r="A59" s="52">
        <v>4</v>
      </c>
      <c r="B59" s="53"/>
      <c r="C59" s="53"/>
      <c r="D59" s="54" t="s">
        <v>24</v>
      </c>
      <c r="E59" s="51" t="e">
        <f>E60+E67</f>
        <v>#DIV/0!</v>
      </c>
      <c r="F59" s="51">
        <f t="shared" ref="F59:I59" si="20">F60+F67</f>
        <v>50.22</v>
      </c>
      <c r="G59" s="51">
        <f t="shared" si="20"/>
        <v>32884.03</v>
      </c>
      <c r="H59" s="51">
        <f t="shared" si="20"/>
        <v>18827.22</v>
      </c>
      <c r="I59" s="51">
        <f t="shared" si="20"/>
        <v>250.99</v>
      </c>
    </row>
    <row r="60" spans="1:14" ht="33" customHeight="1" x14ac:dyDescent="0.25">
      <c r="A60" s="43"/>
      <c r="B60" s="44">
        <v>42</v>
      </c>
      <c r="C60" s="44"/>
      <c r="D60" s="44" t="s">
        <v>25</v>
      </c>
      <c r="E60" s="98" t="e">
        <f>SUM(E61:E66)</f>
        <v>#DIV/0!</v>
      </c>
      <c r="F60" s="98">
        <f t="shared" ref="F60:I60" si="21">SUM(F61:F66)</f>
        <v>50.22</v>
      </c>
      <c r="G60" s="98">
        <f t="shared" si="21"/>
        <v>31759.03</v>
      </c>
      <c r="H60" s="98">
        <f t="shared" si="21"/>
        <v>17702.22</v>
      </c>
      <c r="I60" s="98">
        <f t="shared" si="21"/>
        <v>150.99</v>
      </c>
      <c r="K60" s="41" t="e">
        <f>'POSEBNI DIO'!E484</f>
        <v>#DIV/0!</v>
      </c>
      <c r="L60" s="41"/>
    </row>
    <row r="61" spans="1:14" x14ac:dyDescent="0.25">
      <c r="A61" s="14"/>
      <c r="B61" s="14"/>
      <c r="C61" s="15" t="s">
        <v>50</v>
      </c>
      <c r="D61" s="15" t="s">
        <v>18</v>
      </c>
      <c r="E61" s="49">
        <f>'POSEBNI DIO'!E17+'POSEBNI DIO'!E225</f>
        <v>48201.99</v>
      </c>
      <c r="F61" s="49">
        <f>'POSEBNI DIO'!F17+'POSEBNI DIO'!F225</f>
        <v>0</v>
      </c>
      <c r="G61" s="49">
        <f>'POSEBNI DIO'!G17+'POSEBNI DIO'!G225</f>
        <v>23799.03</v>
      </c>
      <c r="H61" s="49">
        <f>'POSEBNI DIO'!H17+'POSEBNI DIO'!H225</f>
        <v>16518.16</v>
      </c>
      <c r="I61" s="49">
        <f>'POSEBNI DIO'!I17+'POSEBNI DIO'!I225</f>
        <v>117.49</v>
      </c>
      <c r="K61" s="41" t="s">
        <v>237</v>
      </c>
      <c r="M61" s="41">
        <v>58339.18</v>
      </c>
      <c r="N61" s="41" t="e">
        <f>E60-M61</f>
        <v>#DIV/0!</v>
      </c>
    </row>
    <row r="62" spans="1:14" x14ac:dyDescent="0.25">
      <c r="A62" s="14"/>
      <c r="B62" s="29"/>
      <c r="C62" s="15" t="s">
        <v>155</v>
      </c>
      <c r="D62" s="15" t="s">
        <v>156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</row>
    <row r="63" spans="1:14" x14ac:dyDescent="0.25">
      <c r="A63" s="14"/>
      <c r="B63" s="29"/>
      <c r="C63" s="15" t="s">
        <v>51</v>
      </c>
      <c r="D63" s="15" t="s">
        <v>40</v>
      </c>
      <c r="E63" s="49" t="e">
        <f>'POSEBNI DIO'!E287</f>
        <v>#DIV/0!</v>
      </c>
      <c r="F63" s="49">
        <f>'POSEBNI DIO'!F287+'POSEBNI DIO'!F411</f>
        <v>50.22</v>
      </c>
      <c r="G63" s="49">
        <f>'POSEBNI DIO'!G287+'POSEBNI DIO'!G411</f>
        <v>4000</v>
      </c>
      <c r="H63" s="49">
        <f>'POSEBNI DIO'!H287+'POSEBNI DIO'!H411</f>
        <v>1129.06</v>
      </c>
      <c r="I63" s="49">
        <f>'POSEBNI DIO'!I287+'POSEBNI DIO'!I411</f>
        <v>29.71</v>
      </c>
    </row>
    <row r="64" spans="1:14" x14ac:dyDescent="0.25">
      <c r="A64" s="14"/>
      <c r="B64" s="29"/>
      <c r="C64" s="15" t="s">
        <v>160</v>
      </c>
      <c r="D64" s="15" t="s">
        <v>143</v>
      </c>
      <c r="E64" s="49">
        <f>'POSEBNI DIO'!E331</f>
        <v>14.26</v>
      </c>
      <c r="F64" s="49">
        <f>'POSEBNI DIO'!F331</f>
        <v>0</v>
      </c>
      <c r="G64" s="49">
        <f>'POSEBNI DIO'!G331</f>
        <v>10</v>
      </c>
      <c r="H64" s="49">
        <f>'POSEBNI DIO'!H331</f>
        <v>0</v>
      </c>
      <c r="I64" s="49">
        <f>'POSEBNI DIO'!I331</f>
        <v>0</v>
      </c>
    </row>
    <row r="65" spans="1:13" x14ac:dyDescent="0.25">
      <c r="A65" s="14"/>
      <c r="B65" s="29"/>
      <c r="C65" s="15" t="s">
        <v>158</v>
      </c>
      <c r="D65" s="15" t="s">
        <v>159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</row>
    <row r="66" spans="1:13" x14ac:dyDescent="0.25">
      <c r="A66" s="14"/>
      <c r="B66" s="29"/>
      <c r="C66" s="15" t="s">
        <v>52</v>
      </c>
      <c r="D66" s="15" t="s">
        <v>145</v>
      </c>
      <c r="E66" s="49" t="e">
        <f>'POSEBNI DIO'!E364+'POSEBNI DIO'!E432+'POSEBNI DIO'!E454</f>
        <v>#DIV/0!</v>
      </c>
      <c r="F66" s="49">
        <f>'POSEBNI DIO'!F364+'POSEBNI DIO'!F432+'POSEBNI DIO'!F454</f>
        <v>0</v>
      </c>
      <c r="G66" s="49">
        <f>'POSEBNI DIO'!G364+'POSEBNI DIO'!G432+'POSEBNI DIO'!G454</f>
        <v>3950</v>
      </c>
      <c r="H66" s="49">
        <f>'POSEBNI DIO'!H364+'POSEBNI DIO'!H432+'POSEBNI DIO'!H454</f>
        <v>55</v>
      </c>
      <c r="I66" s="49">
        <f>'POSEBNI DIO'!I364+'POSEBNI DIO'!I432+'POSEBNI DIO'!I454</f>
        <v>3.79</v>
      </c>
    </row>
    <row r="67" spans="1:13" ht="25.5" x14ac:dyDescent="0.25">
      <c r="A67" s="43"/>
      <c r="B67" s="44">
        <v>45</v>
      </c>
      <c r="C67" s="44"/>
      <c r="D67" s="44" t="s">
        <v>249</v>
      </c>
      <c r="E67" s="48">
        <f>E68</f>
        <v>32185.279999999999</v>
      </c>
      <c r="F67" s="48">
        <f t="shared" ref="F67:I67" si="22">F68</f>
        <v>0</v>
      </c>
      <c r="G67" s="48">
        <f t="shared" si="22"/>
        <v>1125</v>
      </c>
      <c r="H67" s="48">
        <f t="shared" si="22"/>
        <v>1125</v>
      </c>
      <c r="I67" s="48">
        <f t="shared" si="22"/>
        <v>100</v>
      </c>
      <c r="K67" s="41" t="e">
        <f>'POSEBNI DIO'!E490</f>
        <v>#DIV/0!</v>
      </c>
      <c r="L67" s="41"/>
    </row>
    <row r="68" spans="1:13" x14ac:dyDescent="0.25">
      <c r="A68" s="14"/>
      <c r="B68" s="14"/>
      <c r="C68" s="15" t="s">
        <v>50</v>
      </c>
      <c r="D68" s="15" t="s">
        <v>18</v>
      </c>
      <c r="E68" s="49">
        <f>'POSEBNI DIO'!E233</f>
        <v>32185.279999999999</v>
      </c>
      <c r="F68" s="49">
        <f>'POSEBNI DIO'!F233</f>
        <v>0</v>
      </c>
      <c r="G68" s="49">
        <f>'POSEBNI DIO'!G233</f>
        <v>1125</v>
      </c>
      <c r="H68" s="49">
        <f>'POSEBNI DIO'!H233</f>
        <v>1125</v>
      </c>
      <c r="I68" s="49">
        <f>'POSEBNI DIO'!I233</f>
        <v>100</v>
      </c>
      <c r="K68" s="41" t="s">
        <v>237</v>
      </c>
      <c r="M68" s="41">
        <v>32233.14</v>
      </c>
    </row>
    <row r="70" spans="1:13" x14ac:dyDescent="0.25">
      <c r="A70" t="s">
        <v>240</v>
      </c>
      <c r="E70" t="s">
        <v>241</v>
      </c>
      <c r="H70" s="41" t="s">
        <v>242</v>
      </c>
    </row>
    <row r="71" spans="1:13" x14ac:dyDescent="0.25">
      <c r="A71" t="s">
        <v>243</v>
      </c>
      <c r="E71" t="s">
        <v>244</v>
      </c>
      <c r="H71" s="41" t="s">
        <v>245</v>
      </c>
    </row>
  </sheetData>
  <mergeCells count="5">
    <mergeCell ref="A7:I7"/>
    <mergeCell ref="A28:I28"/>
    <mergeCell ref="A1:I1"/>
    <mergeCell ref="A3:I3"/>
    <mergeCell ref="A5:I5"/>
  </mergeCells>
  <pageMargins left="0.7" right="0.7" top="0.75" bottom="0.75" header="0.3" footer="0.3"/>
  <pageSetup paperSize="9" scale="69" orientation="landscape" r:id="rId1"/>
  <rowBreaks count="1" manualBreakCount="1">
    <brk id="27" max="8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19.28515625" customWidth="1"/>
    <col min="6" max="7" width="18.42578125" customWidth="1"/>
    <col min="8" max="8" width="18.28515625" customWidth="1"/>
    <col min="9" max="9" width="19.140625" customWidth="1"/>
  </cols>
  <sheetData>
    <row r="1" spans="1:9" ht="42" customHeight="1" x14ac:dyDescent="0.25">
      <c r="A1" s="222" t="s">
        <v>264</v>
      </c>
      <c r="B1" s="222"/>
      <c r="C1" s="222"/>
      <c r="D1" s="222"/>
      <c r="E1" s="222"/>
      <c r="F1" s="222"/>
      <c r="G1" s="222"/>
      <c r="H1" s="222"/>
      <c r="I1" s="222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222" t="s">
        <v>33</v>
      </c>
      <c r="B3" s="222"/>
      <c r="C3" s="222"/>
      <c r="D3" s="222"/>
      <c r="E3" s="222"/>
      <c r="F3" s="222"/>
      <c r="G3" s="222"/>
      <c r="H3" s="224"/>
      <c r="I3" s="224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222" t="s">
        <v>29</v>
      </c>
      <c r="B5" s="223"/>
      <c r="C5" s="223"/>
      <c r="D5" s="223"/>
      <c r="E5" s="223"/>
      <c r="F5" s="223"/>
      <c r="G5" s="223"/>
      <c r="H5" s="223"/>
      <c r="I5" s="223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3" t="s">
        <v>14</v>
      </c>
      <c r="B7" s="22" t="s">
        <v>15</v>
      </c>
      <c r="C7" s="22" t="s">
        <v>16</v>
      </c>
      <c r="D7" s="22" t="s">
        <v>49</v>
      </c>
      <c r="E7" s="22" t="s">
        <v>246</v>
      </c>
      <c r="F7" s="23" t="s">
        <v>247</v>
      </c>
      <c r="G7" s="23" t="s">
        <v>253</v>
      </c>
      <c r="H7" s="23" t="s">
        <v>45</v>
      </c>
      <c r="I7" s="23" t="s">
        <v>254</v>
      </c>
    </row>
    <row r="8" spans="1:9" x14ac:dyDescent="0.25">
      <c r="A8" s="13"/>
      <c r="B8" s="13"/>
      <c r="C8" s="13"/>
      <c r="D8" s="13" t="s">
        <v>236</v>
      </c>
      <c r="E8" s="67">
        <f>SUM(E9:E12)</f>
        <v>0</v>
      </c>
      <c r="F8" s="67">
        <f t="shared" ref="F8:I8" si="0">SUM(F9:F12)</f>
        <v>0</v>
      </c>
      <c r="G8" s="67">
        <f t="shared" si="0"/>
        <v>0</v>
      </c>
      <c r="H8" s="67">
        <f t="shared" si="0"/>
        <v>0</v>
      </c>
      <c r="I8" s="67">
        <f t="shared" si="0"/>
        <v>0</v>
      </c>
    </row>
    <row r="9" spans="1:9" ht="25.5" x14ac:dyDescent="0.25">
      <c r="A9" s="16">
        <v>8</v>
      </c>
      <c r="B9" s="16"/>
      <c r="C9" s="16"/>
      <c r="D9" s="16" t="s">
        <v>30</v>
      </c>
      <c r="E9" s="42">
        <v>0</v>
      </c>
      <c r="F9" s="39">
        <v>0</v>
      </c>
      <c r="G9" s="39">
        <v>0</v>
      </c>
      <c r="H9" s="39">
        <v>0</v>
      </c>
      <c r="I9" s="39">
        <v>0</v>
      </c>
    </row>
    <row r="10" spans="1:9" hidden="1" x14ac:dyDescent="0.25">
      <c r="A10" s="16"/>
      <c r="B10" s="16">
        <v>84</v>
      </c>
      <c r="C10" s="16"/>
      <c r="D10" s="16" t="s">
        <v>37</v>
      </c>
      <c r="E10" s="10"/>
      <c r="F10" s="11"/>
      <c r="G10" s="11"/>
      <c r="H10" s="11"/>
      <c r="I10" s="11"/>
    </row>
    <row r="11" spans="1:9" ht="25.5" hidden="1" x14ac:dyDescent="0.25">
      <c r="A11" s="14"/>
      <c r="B11" s="14"/>
      <c r="C11" s="15">
        <v>81</v>
      </c>
      <c r="D11" s="18" t="s">
        <v>38</v>
      </c>
      <c r="E11" s="10"/>
      <c r="F11" s="11"/>
      <c r="G11" s="11"/>
      <c r="H11" s="11"/>
      <c r="I11" s="11"/>
    </row>
    <row r="12" spans="1:9" ht="25.5" x14ac:dyDescent="0.25">
      <c r="A12" s="17">
        <v>5</v>
      </c>
      <c r="B12" s="70"/>
      <c r="C12" s="70"/>
      <c r="D12" s="28" t="s">
        <v>31</v>
      </c>
      <c r="E12" s="42">
        <v>0</v>
      </c>
      <c r="F12" s="39">
        <v>0</v>
      </c>
      <c r="G12" s="39">
        <v>0</v>
      </c>
      <c r="H12" s="39">
        <v>0</v>
      </c>
      <c r="I12" s="39">
        <v>0</v>
      </c>
    </row>
    <row r="13" spans="1:9" ht="25.5" hidden="1" x14ac:dyDescent="0.25">
      <c r="A13" s="16"/>
      <c r="B13" s="16">
        <v>54</v>
      </c>
      <c r="C13" s="16"/>
      <c r="D13" s="28" t="s">
        <v>39</v>
      </c>
      <c r="E13" s="10"/>
      <c r="F13" s="11"/>
      <c r="G13" s="11"/>
      <c r="H13" s="11"/>
      <c r="I13" s="12"/>
    </row>
    <row r="14" spans="1:9" hidden="1" x14ac:dyDescent="0.25">
      <c r="A14" s="16"/>
      <c r="B14" s="16"/>
      <c r="C14" s="15">
        <v>11</v>
      </c>
      <c r="D14" s="15" t="s">
        <v>18</v>
      </c>
      <c r="E14" s="10"/>
      <c r="F14" s="11"/>
      <c r="G14" s="11"/>
      <c r="H14" s="11"/>
      <c r="I14" s="12"/>
    </row>
    <row r="15" spans="1:9" hidden="1" x14ac:dyDescent="0.25">
      <c r="A15" s="16"/>
      <c r="B15" s="16"/>
      <c r="C15" s="15">
        <v>31</v>
      </c>
      <c r="D15" s="15" t="s">
        <v>40</v>
      </c>
      <c r="E15" s="10"/>
      <c r="F15" s="11"/>
      <c r="G15" s="11"/>
      <c r="H15" s="11"/>
      <c r="I15" s="12"/>
    </row>
    <row r="17" spans="1:8" x14ac:dyDescent="0.25">
      <c r="A17" t="s">
        <v>240</v>
      </c>
      <c r="E17" t="s">
        <v>241</v>
      </c>
      <c r="H17" t="s">
        <v>242</v>
      </c>
    </row>
    <row r="18" spans="1:8" x14ac:dyDescent="0.25">
      <c r="A18" t="s">
        <v>243</v>
      </c>
      <c r="E18" t="s">
        <v>244</v>
      </c>
      <c r="H18" t="s">
        <v>245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5</vt:i4>
      </vt:variant>
    </vt:vector>
  </HeadingPairs>
  <TitlesOfParts>
    <vt:vector size="13" baseType="lpstr">
      <vt:lpstr>SAŽETAK EUR</vt:lpstr>
      <vt:lpstr>Prihodi- ekonom.klasif</vt:lpstr>
      <vt:lpstr>Rashodi-ekonom.klasifik</vt:lpstr>
      <vt:lpstr>prih.rash.-izvori financiranja</vt:lpstr>
      <vt:lpstr>POSEBNI DIO</vt:lpstr>
      <vt:lpstr>Rashodi prema funkcijskoj kl</vt:lpstr>
      <vt:lpstr> Račun prihoda i rashoda</vt:lpstr>
      <vt:lpstr>Račun financiranja</vt:lpstr>
      <vt:lpstr>' Račun prihoda i rashoda'!Podrucje_ispisa</vt:lpstr>
      <vt:lpstr>'POSEBNI DIO'!Podrucje_ispisa</vt:lpstr>
      <vt:lpstr>'Račun financiranja'!Podrucje_ispisa</vt:lpstr>
      <vt:lpstr>'Rashodi prema funkcijskoj kl'!Podrucje_ispisa</vt:lpstr>
      <vt:lpstr>'SAŽETAK EUR'!Podrucje_ispisa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Katarina</cp:lastModifiedBy>
  <cp:lastPrinted>2022-10-05T06:25:56Z</cp:lastPrinted>
  <dcterms:created xsi:type="dcterms:W3CDTF">2022-08-12T12:51:27Z</dcterms:created>
  <dcterms:modified xsi:type="dcterms:W3CDTF">2024-07-18T12:17:16Z</dcterms:modified>
</cp:coreProperties>
</file>