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arina\Desktop\Škola financije\Financijski plan 2023 (2024, 2025)\Izvršenje FP 2023\"/>
    </mc:Choice>
  </mc:AlternateContent>
  <bookViews>
    <workbookView xWindow="0" yWindow="0" windowWidth="28800" windowHeight="11700" firstSheet="1" activeTab="2"/>
  </bookViews>
  <sheets>
    <sheet name="SAŽETAK kn" sheetId="13" r:id="rId1"/>
    <sheet name="SAŽETAK EUR" sheetId="1" r:id="rId2"/>
    <sheet name="Prihodi-ekonom.klasif." sheetId="16" r:id="rId3"/>
    <sheet name="Rashodi-ekonm.klasif." sheetId="15" r:id="rId4"/>
    <sheet name="Prih. i rash.prema izvorima fin" sheetId="14" r:id="rId5"/>
    <sheet name="POSEBNI DIO" sheetId="7" r:id="rId6"/>
  </sheets>
  <definedNames>
    <definedName name="_xlnm._FilterDatabase" localSheetId="5" hidden="1">'POSEBNI DIO'!$A$5:$Q$415</definedName>
    <definedName name="_xlnm.Print_Area" localSheetId="5">'POSEBNI DIO'!$A$1:$H$419</definedName>
    <definedName name="_xlnm.Print_Area" localSheetId="4">'Prih. i rash.prema izvorima fin'!$A$1:$G$49</definedName>
    <definedName name="_xlnm.Print_Area" localSheetId="2">'Prihodi-ekonom.klasif.'!$A$1:$G$37</definedName>
    <definedName name="_xlnm.Print_Area" localSheetId="3">'Rashodi-ekonm.klasif.'!$A$1:$G$74</definedName>
    <definedName name="_xlnm.Print_Area" localSheetId="1">'SAŽETAK EUR'!$A$1:$H$40</definedName>
    <definedName name="_xlnm.Print_Area" localSheetId="0">'SAŽETAK kn'!$A$1:$H$40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5" i="7" l="1"/>
  <c r="G11" i="1" l="1"/>
  <c r="D9" i="16"/>
  <c r="D26" i="16"/>
  <c r="D21" i="16" l="1"/>
  <c r="D25" i="16"/>
  <c r="D15" i="16"/>
  <c r="D8" i="16"/>
  <c r="D7" i="16" s="1"/>
  <c r="E10" i="14"/>
  <c r="E21" i="16" l="1"/>
  <c r="E16" i="15"/>
  <c r="D23" i="14"/>
  <c r="D35" i="14"/>
  <c r="G198" i="7"/>
  <c r="F11" i="7"/>
  <c r="G404" i="7"/>
  <c r="G31" i="7"/>
  <c r="F226" i="7"/>
  <c r="F9" i="1" l="1"/>
  <c r="C27" i="16"/>
  <c r="C26" i="16"/>
  <c r="C22" i="16"/>
  <c r="C20" i="16"/>
  <c r="C16" i="16"/>
  <c r="C13" i="16"/>
  <c r="C10" i="16"/>
  <c r="C9" i="16"/>
  <c r="C50" i="15"/>
  <c r="C51" i="15"/>
  <c r="C38" i="15"/>
  <c r="C70" i="15"/>
  <c r="C67" i="15"/>
  <c r="C65" i="15"/>
  <c r="C62" i="15"/>
  <c r="C60" i="15"/>
  <c r="C52" i="15" l="1"/>
  <c r="C49" i="15"/>
  <c r="C48" i="15"/>
  <c r="C45" i="15"/>
  <c r="C44" i="15"/>
  <c r="C43" i="15"/>
  <c r="C41" i="15"/>
  <c r="C40" i="15"/>
  <c r="C37" i="15"/>
  <c r="C36" i="15"/>
  <c r="C35" i="15"/>
  <c r="C34" i="15"/>
  <c r="C33" i="15"/>
  <c r="C32" i="15"/>
  <c r="C30" i="15"/>
  <c r="C29" i="15"/>
  <c r="C27" i="15"/>
  <c r="C26" i="15"/>
  <c r="C25" i="15"/>
  <c r="C24" i="15"/>
  <c r="C23" i="15"/>
  <c r="C22" i="15"/>
  <c r="C19" i="15"/>
  <c r="C18" i="15"/>
  <c r="C17" i="15"/>
  <c r="C14" i="15"/>
  <c r="C13" i="15"/>
  <c r="C11" i="15"/>
  <c r="C9" i="15"/>
  <c r="C38" i="14" l="1"/>
  <c r="C39" i="14" s="1"/>
  <c r="C35" i="14"/>
  <c r="C34" i="14"/>
  <c r="C30" i="14"/>
  <c r="C31" i="14" s="1"/>
  <c r="C23" i="14"/>
  <c r="C22" i="14"/>
  <c r="C18" i="14"/>
  <c r="C14" i="14"/>
  <c r="C11" i="14"/>
  <c r="C10" i="14"/>
  <c r="C6" i="14"/>
  <c r="C7" i="14"/>
  <c r="E83" i="7"/>
  <c r="E82" i="7" s="1"/>
  <c r="E81" i="7" s="1"/>
  <c r="E80" i="7" s="1"/>
  <c r="E79" i="7" s="1"/>
  <c r="E218" i="7"/>
  <c r="G217" i="7"/>
  <c r="G216" i="7" s="1"/>
  <c r="F217" i="7"/>
  <c r="F216" i="7" s="1"/>
  <c r="F215" i="7" s="1"/>
  <c r="F214" i="7" s="1"/>
  <c r="F213" i="7" s="1"/>
  <c r="E212" i="7"/>
  <c r="G211" i="7"/>
  <c r="F211" i="7"/>
  <c r="G210" i="7"/>
  <c r="F210" i="7"/>
  <c r="E206" i="7"/>
  <c r="E205" i="7"/>
  <c r="G204" i="7"/>
  <c r="F204" i="7"/>
  <c r="G203" i="7"/>
  <c r="G202" i="7" s="1"/>
  <c r="G201" i="7" s="1"/>
  <c r="G200" i="7" s="1"/>
  <c r="G199" i="7" s="1"/>
  <c r="F203" i="7"/>
  <c r="F202" i="7" s="1"/>
  <c r="E185" i="7"/>
  <c r="E184" i="7"/>
  <c r="E181" i="7"/>
  <c r="E180" i="7" s="1"/>
  <c r="E179" i="7"/>
  <c r="E178" i="7" s="1"/>
  <c r="E177" i="7"/>
  <c r="E176" i="7" s="1"/>
  <c r="E172" i="7"/>
  <c r="E171" i="7"/>
  <c r="E168" i="7"/>
  <c r="E167" i="7" s="1"/>
  <c r="E166" i="7"/>
  <c r="E165" i="7" s="1"/>
  <c r="E164" i="7"/>
  <c r="E163" i="7" s="1"/>
  <c r="G183" i="7"/>
  <c r="F183" i="7"/>
  <c r="F182" i="7" s="1"/>
  <c r="G180" i="7"/>
  <c r="F180" i="7"/>
  <c r="G178" i="7"/>
  <c r="F178" i="7"/>
  <c r="G176" i="7"/>
  <c r="F176" i="7"/>
  <c r="G170" i="7"/>
  <c r="G169" i="7" s="1"/>
  <c r="F170" i="7"/>
  <c r="F169" i="7" s="1"/>
  <c r="G167" i="7"/>
  <c r="F167" i="7"/>
  <c r="G165" i="7"/>
  <c r="F165" i="7"/>
  <c r="G163" i="7"/>
  <c r="F163" i="7"/>
  <c r="G209" i="7" l="1"/>
  <c r="G208" i="7" s="1"/>
  <c r="G207" i="7" s="1"/>
  <c r="F209" i="7"/>
  <c r="G215" i="7"/>
  <c r="G162" i="7"/>
  <c r="G161" i="7" s="1"/>
  <c r="G175" i="7"/>
  <c r="E204" i="7"/>
  <c r="E203" i="7" s="1"/>
  <c r="E170" i="7"/>
  <c r="E183" i="7"/>
  <c r="E182" i="7"/>
  <c r="E175" i="7"/>
  <c r="E169" i="7"/>
  <c r="E162" i="7"/>
  <c r="F175" i="7"/>
  <c r="F174" i="7" s="1"/>
  <c r="F173" i="7" s="1"/>
  <c r="F162" i="7"/>
  <c r="F161" i="7" s="1"/>
  <c r="F160" i="7" s="1"/>
  <c r="G182" i="7"/>
  <c r="G214" i="7" l="1"/>
  <c r="G174" i="7"/>
  <c r="E174" i="7"/>
  <c r="E173" i="7" s="1"/>
  <c r="E161" i="7"/>
  <c r="E160" i="7" s="1"/>
  <c r="F159" i="7"/>
  <c r="G160" i="7"/>
  <c r="F18" i="7"/>
  <c r="G213" i="7" l="1"/>
  <c r="G173" i="7"/>
  <c r="E159" i="7"/>
  <c r="E25" i="7"/>
  <c r="H25" i="7"/>
  <c r="G159" i="7" l="1"/>
  <c r="F284" i="7"/>
  <c r="G284" i="7"/>
  <c r="G243" i="7"/>
  <c r="F265" i="7"/>
  <c r="G265" i="7"/>
  <c r="F116" i="7" l="1"/>
  <c r="F115" i="7" s="1"/>
  <c r="F17" i="7"/>
  <c r="F113" i="7"/>
  <c r="F109" i="7"/>
  <c r="F24" i="7"/>
  <c r="E24" i="7"/>
  <c r="G24" i="7"/>
  <c r="G17" i="7"/>
  <c r="E23" i="7" l="1"/>
  <c r="E22" i="7" s="1"/>
  <c r="F16" i="7"/>
  <c r="F15" i="7" s="1"/>
  <c r="F14" i="7" s="1"/>
  <c r="F13" i="7" s="1"/>
  <c r="F23" i="7"/>
  <c r="F22" i="7" s="1"/>
  <c r="F21" i="7" s="1"/>
  <c r="F20" i="7" s="1"/>
  <c r="E21" i="7"/>
  <c r="E20" i="7" s="1"/>
  <c r="E217" i="7"/>
  <c r="E216" i="7" s="1"/>
  <c r="E215" i="7" s="1"/>
  <c r="E214" i="7" s="1"/>
  <c r="E213" i="7" s="1"/>
  <c r="G23" i="7"/>
  <c r="H24" i="7"/>
  <c r="G16" i="7"/>
  <c r="H17" i="7"/>
  <c r="G11" i="7"/>
  <c r="F31" i="7"/>
  <c r="E34" i="7"/>
  <c r="E36" i="7"/>
  <c r="E37" i="7"/>
  <c r="E38" i="7"/>
  <c r="E39" i="7"/>
  <c r="E41" i="7"/>
  <c r="E43" i="7"/>
  <c r="E44" i="7"/>
  <c r="E45" i="7"/>
  <c r="E46" i="7"/>
  <c r="E47" i="7"/>
  <c r="E48" i="7"/>
  <c r="E64" i="7"/>
  <c r="E63" i="7" s="1"/>
  <c r="E62" i="7"/>
  <c r="E61" i="7" s="1"/>
  <c r="E104" i="7"/>
  <c r="E90" i="7"/>
  <c r="E78" i="7"/>
  <c r="E77" i="7" s="1"/>
  <c r="E156" i="7"/>
  <c r="E155" i="7" s="1"/>
  <c r="E153" i="7"/>
  <c r="E151" i="7"/>
  <c r="E149" i="7"/>
  <c r="E409" i="7"/>
  <c r="E408" i="7" s="1"/>
  <c r="E407" i="7" s="1"/>
  <c r="E406" i="7" s="1"/>
  <c r="E404" i="7"/>
  <c r="E403" i="7" s="1"/>
  <c r="E402" i="7" s="1"/>
  <c r="E401" i="7" s="1"/>
  <c r="E384" i="7"/>
  <c r="E383" i="7" s="1"/>
  <c r="E382" i="7" s="1"/>
  <c r="E378" i="7"/>
  <c r="E376" i="7"/>
  <c r="E375" i="7"/>
  <c r="E368" i="7"/>
  <c r="E367" i="7"/>
  <c r="E352" i="7"/>
  <c r="E351" i="7" s="1"/>
  <c r="E350" i="7" s="1"/>
  <c r="E349" i="7"/>
  <c r="E348" i="7"/>
  <c r="E346" i="7"/>
  <c r="E345" i="7"/>
  <c r="E344" i="7"/>
  <c r="E343" i="7" s="1"/>
  <c r="E341" i="7"/>
  <c r="E340" i="7"/>
  <c r="E338" i="7"/>
  <c r="E337" i="7" s="1"/>
  <c r="E336" i="7"/>
  <c r="E330" i="7"/>
  <c r="E329" i="7" s="1"/>
  <c r="E328" i="7" s="1"/>
  <c r="E327" i="7" s="1"/>
  <c r="E326" i="7" s="1"/>
  <c r="E325" i="7"/>
  <c r="E324" i="7" s="1"/>
  <c r="E323" i="7"/>
  <c r="E322" i="7"/>
  <c r="E315" i="7"/>
  <c r="E312" i="7"/>
  <c r="E303" i="7"/>
  <c r="E302" i="7"/>
  <c r="E299" i="7"/>
  <c r="E297" i="7"/>
  <c r="E295" i="7"/>
  <c r="E294" i="7"/>
  <c r="E289" i="7"/>
  <c r="E288" i="7" s="1"/>
  <c r="E287" i="7" s="1"/>
  <c r="E286" i="7" s="1"/>
  <c r="G288" i="7"/>
  <c r="G287" i="7" s="1"/>
  <c r="G286" i="7" s="1"/>
  <c r="F288" i="7"/>
  <c r="F287" i="7" s="1"/>
  <c r="F286" i="7" s="1"/>
  <c r="E283" i="7"/>
  <c r="E282" i="7"/>
  <c r="E279" i="7"/>
  <c r="E278" i="7" s="1"/>
  <c r="E274" i="7"/>
  <c r="E273" i="7" s="1"/>
  <c r="E272" i="7"/>
  <c r="E270" i="7"/>
  <c r="E264" i="7"/>
  <c r="E263" i="7"/>
  <c r="E260" i="7"/>
  <c r="E259" i="7"/>
  <c r="E257" i="7"/>
  <c r="E255" i="7"/>
  <c r="E254" i="7"/>
  <c r="E252" i="7"/>
  <c r="E248" i="7"/>
  <c r="E246" i="7"/>
  <c r="E243" i="7"/>
  <c r="E242" i="7" s="1"/>
  <c r="E414" i="7"/>
  <c r="E413" i="7" s="1"/>
  <c r="F408" i="7"/>
  <c r="F407" i="7" s="1"/>
  <c r="F406" i="7" s="1"/>
  <c r="F414" i="7"/>
  <c r="F413" i="7" s="1"/>
  <c r="E398" i="7"/>
  <c r="E397" i="7" s="1"/>
  <c r="E396" i="7" s="1"/>
  <c r="E395" i="7" s="1"/>
  <c r="E392" i="7"/>
  <c r="E389" i="7"/>
  <c r="E379" i="7"/>
  <c r="E369" i="7"/>
  <c r="E361" i="7"/>
  <c r="E360" i="7" s="1"/>
  <c r="E359" i="7" s="1"/>
  <c r="E357" i="7"/>
  <c r="E356" i="7" s="1"/>
  <c r="E355" i="7" s="1"/>
  <c r="E335" i="7"/>
  <c r="E316" i="7"/>
  <c r="E236" i="7"/>
  <c r="E235" i="7" s="1"/>
  <c r="E237" i="7"/>
  <c r="E226" i="7"/>
  <c r="E232" i="7"/>
  <c r="E230" i="7"/>
  <c r="F412" i="7" l="1"/>
  <c r="F411" i="7" s="1"/>
  <c r="F410" i="7" s="1"/>
  <c r="E412" i="7"/>
  <c r="E301" i="7"/>
  <c r="G22" i="7"/>
  <c r="H23" i="7"/>
  <c r="G15" i="7"/>
  <c r="H16" i="7"/>
  <c r="E321" i="7"/>
  <c r="E320" i="7" s="1"/>
  <c r="E319" i="7" s="1"/>
  <c r="E245" i="7"/>
  <c r="E366" i="7"/>
  <c r="E347" i="7"/>
  <c r="E342" i="7" s="1"/>
  <c r="E148" i="7"/>
  <c r="E147" i="7" s="1"/>
  <c r="E223" i="7"/>
  <c r="E222" i="7" s="1"/>
  <c r="E221" i="7" s="1"/>
  <c r="E262" i="7"/>
  <c r="E261" i="7" s="1"/>
  <c r="E269" i="7"/>
  <c r="E268" i="7" s="1"/>
  <c r="E267" i="7" s="1"/>
  <c r="E311" i="7"/>
  <c r="E374" i="7"/>
  <c r="E373" i="7" s="1"/>
  <c r="E372" i="7" s="1"/>
  <c r="E371" i="7" s="1"/>
  <c r="E293" i="7"/>
  <c r="E281" i="7"/>
  <c r="E277" i="7" s="1"/>
  <c r="E276" i="7" s="1"/>
  <c r="E275" i="7" s="1"/>
  <c r="E339" i="7"/>
  <c r="E334" i="7" s="1"/>
  <c r="E60" i="7"/>
  <c r="E59" i="7" s="1"/>
  <c r="E58" i="7" s="1"/>
  <c r="E57" i="7" s="1"/>
  <c r="E296" i="7"/>
  <c r="E258" i="7"/>
  <c r="E251" i="7"/>
  <c r="E354" i="7"/>
  <c r="E400" i="7"/>
  <c r="E394" i="7" s="1"/>
  <c r="E388" i="7"/>
  <c r="E387" i="7" s="1"/>
  <c r="E386" i="7" s="1"/>
  <c r="E365" i="7"/>
  <c r="E364" i="7" s="1"/>
  <c r="E363" i="7" s="1"/>
  <c r="E411" i="7" l="1"/>
  <c r="E410" i="7" s="1"/>
  <c r="G21" i="7"/>
  <c r="H22" i="7"/>
  <c r="G14" i="7"/>
  <c r="H15" i="7"/>
  <c r="E292" i="7"/>
  <c r="E291" i="7" s="1"/>
  <c r="E290" i="7" s="1"/>
  <c r="E333" i="7"/>
  <c r="E332" i="7" s="1"/>
  <c r="E331" i="7" s="1"/>
  <c r="E241" i="7"/>
  <c r="E240" i="7" s="1"/>
  <c r="E239" i="7" s="1"/>
  <c r="E353" i="7"/>
  <c r="G20" i="7" l="1"/>
  <c r="H21" i="7"/>
  <c r="G13" i="7"/>
  <c r="H13" i="7" s="1"/>
  <c r="H14" i="7"/>
  <c r="E220" i="7"/>
  <c r="E219" i="7" s="1"/>
  <c r="G18" i="7" l="1"/>
  <c r="H18" i="7" s="1"/>
  <c r="H20" i="7"/>
  <c r="E198" i="7"/>
  <c r="F190" i="7"/>
  <c r="G190" i="7"/>
  <c r="G189" i="7" s="1"/>
  <c r="G188" i="7" s="1"/>
  <c r="G187" i="7" s="1"/>
  <c r="G186" i="7" s="1"/>
  <c r="E131" i="7"/>
  <c r="E130" i="7"/>
  <c r="E127" i="7"/>
  <c r="E126" i="7" s="1"/>
  <c r="E125" i="7"/>
  <c r="E124" i="7" s="1"/>
  <c r="E123" i="7"/>
  <c r="E122" i="7" s="1"/>
  <c r="E118" i="7"/>
  <c r="E117" i="7"/>
  <c r="E114" i="7"/>
  <c r="E113" i="7" s="1"/>
  <c r="E112" i="7"/>
  <c r="E111" i="7" s="1"/>
  <c r="E110" i="7"/>
  <c r="E109" i="7" s="1"/>
  <c r="E143" i="7"/>
  <c r="E142" i="7" s="1"/>
  <c r="E140" i="7"/>
  <c r="E138" i="7"/>
  <c r="E136" i="7"/>
  <c r="E102" i="7"/>
  <c r="E101" i="7" s="1"/>
  <c r="E100" i="7" s="1"/>
  <c r="E99" i="7" s="1"/>
  <c r="E98" i="7" s="1"/>
  <c r="E97" i="7"/>
  <c r="E96" i="7" s="1"/>
  <c r="E95" i="7" s="1"/>
  <c r="E94" i="7" s="1"/>
  <c r="E93" i="7" s="1"/>
  <c r="E91" i="7"/>
  <c r="E89" i="7" s="1"/>
  <c r="E75" i="7"/>
  <c r="E73" i="7"/>
  <c r="E70" i="7"/>
  <c r="E56" i="7"/>
  <c r="E54" i="7" s="1"/>
  <c r="E53" i="7"/>
  <c r="E51" i="7"/>
  <c r="E50" i="7"/>
  <c r="E40" i="7"/>
  <c r="E33" i="7"/>
  <c r="E32" i="7"/>
  <c r="E31" i="7" s="1"/>
  <c r="E12" i="7"/>
  <c r="E11" i="7" s="1"/>
  <c r="E10" i="7" s="1"/>
  <c r="F189" i="7" l="1"/>
  <c r="E9" i="7"/>
  <c r="E8" i="7" s="1"/>
  <c r="E7" i="7" s="1"/>
  <c r="E6" i="7" s="1"/>
  <c r="E211" i="7"/>
  <c r="E210" i="7" s="1"/>
  <c r="E17" i="7"/>
  <c r="E16" i="7" s="1"/>
  <c r="E18" i="7"/>
  <c r="E129" i="7"/>
  <c r="E128" i="7" s="1"/>
  <c r="E49" i="7"/>
  <c r="E190" i="7"/>
  <c r="E197" i="7"/>
  <c r="E196" i="7" s="1"/>
  <c r="E195" i="7" s="1"/>
  <c r="E194" i="7" s="1"/>
  <c r="E193" i="7" s="1"/>
  <c r="E192" i="7" s="1"/>
  <c r="E146" i="7"/>
  <c r="E116" i="7"/>
  <c r="E115" i="7" s="1"/>
  <c r="E135" i="7"/>
  <c r="E134" i="7" s="1"/>
  <c r="E133" i="7" s="1"/>
  <c r="E121" i="7"/>
  <c r="E108" i="7"/>
  <c r="E55" i="7"/>
  <c r="E35" i="7"/>
  <c r="E189" i="7" l="1"/>
  <c r="E188" i="7" s="1"/>
  <c r="E187" i="7" s="1"/>
  <c r="E186" i="7" s="1"/>
  <c r="E209" i="7"/>
  <c r="E208" i="7" s="1"/>
  <c r="E207" i="7" s="1"/>
  <c r="E15" i="7"/>
  <c r="E14" i="7" s="1"/>
  <c r="E13" i="7" s="1"/>
  <c r="E30" i="7"/>
  <c r="E120" i="7"/>
  <c r="E119" i="7" s="1"/>
  <c r="E107" i="7"/>
  <c r="E106" i="7" s="1"/>
  <c r="E132" i="7"/>
  <c r="E105" i="7" l="1"/>
  <c r="E65" i="7"/>
  <c r="E29" i="7"/>
  <c r="E28" i="7" s="1"/>
  <c r="E27" i="7" s="1"/>
  <c r="E26" i="7" s="1"/>
  <c r="E202" i="7" l="1"/>
  <c r="E201" i="7" s="1"/>
  <c r="E200" i="7" s="1"/>
  <c r="E199" i="7" s="1"/>
  <c r="E4" i="7" s="1"/>
  <c r="F10" i="1"/>
  <c r="F10" i="13" s="1"/>
  <c r="D18" i="16"/>
  <c r="D17" i="16" s="1"/>
  <c r="C21" i="16"/>
  <c r="E17" i="16" l="1"/>
  <c r="G17" i="16" s="1"/>
  <c r="D24" i="16"/>
  <c r="E25" i="16"/>
  <c r="G25" i="16" s="1"/>
  <c r="E11" i="16"/>
  <c r="D12" i="16"/>
  <c r="D11" i="16" s="1"/>
  <c r="E12" i="16"/>
  <c r="D14" i="16"/>
  <c r="E15" i="16"/>
  <c r="E14" i="16" s="1"/>
  <c r="G14" i="16" s="1"/>
  <c r="E18" i="16"/>
  <c r="E8" i="16"/>
  <c r="E7" i="16" s="1"/>
  <c r="G7" i="16" s="1"/>
  <c r="E8" i="15"/>
  <c r="E10" i="15"/>
  <c r="E7" i="15" s="1"/>
  <c r="E12" i="15"/>
  <c r="E21" i="15"/>
  <c r="E28" i="15"/>
  <c r="E38" i="15"/>
  <c r="G38" i="15" s="1"/>
  <c r="E47" i="15"/>
  <c r="E46" i="15" s="1"/>
  <c r="E51" i="15"/>
  <c r="E50" i="15" s="1"/>
  <c r="E53" i="15"/>
  <c r="D54" i="15"/>
  <c r="E54" i="15"/>
  <c r="E59" i="15"/>
  <c r="E61" i="15"/>
  <c r="E66" i="15"/>
  <c r="G66" i="15" s="1"/>
  <c r="E69" i="15"/>
  <c r="E68" i="15"/>
  <c r="D12" i="15"/>
  <c r="D16" i="15"/>
  <c r="G16" i="15" s="1"/>
  <c r="D21" i="15"/>
  <c r="D28" i="15"/>
  <c r="D38" i="15"/>
  <c r="D66" i="15"/>
  <c r="D61" i="15"/>
  <c r="C25" i="16"/>
  <c r="F22" i="16"/>
  <c r="F20" i="16"/>
  <c r="C61" i="15"/>
  <c r="C59" i="15"/>
  <c r="C47" i="15"/>
  <c r="F45" i="15"/>
  <c r="F43" i="15"/>
  <c r="F42" i="15"/>
  <c r="F41" i="15"/>
  <c r="F36" i="15"/>
  <c r="F35" i="15"/>
  <c r="F34" i="15"/>
  <c r="F33" i="15"/>
  <c r="C31" i="15"/>
  <c r="F29" i="15"/>
  <c r="F25" i="15"/>
  <c r="F24" i="15"/>
  <c r="F23" i="15"/>
  <c r="F22" i="15"/>
  <c r="F19" i="15"/>
  <c r="F18" i="15"/>
  <c r="F14" i="15"/>
  <c r="F13" i="15"/>
  <c r="F11" i="15"/>
  <c r="C8" i="15"/>
  <c r="K6" i="14"/>
  <c r="K10" i="14"/>
  <c r="F30" i="14"/>
  <c r="C19" i="14"/>
  <c r="F34" i="14"/>
  <c r="F22" i="14"/>
  <c r="I10" i="14"/>
  <c r="M10" i="14" s="1"/>
  <c r="G6" i="14"/>
  <c r="E41" i="14"/>
  <c r="D39" i="14"/>
  <c r="G39" i="14" s="1"/>
  <c r="D31" i="14"/>
  <c r="D34" i="14"/>
  <c r="D41" i="14" s="1"/>
  <c r="D24" i="14"/>
  <c r="G19" i="14"/>
  <c r="E30" i="16"/>
  <c r="E29" i="16" s="1"/>
  <c r="D30" i="16"/>
  <c r="C30" i="16"/>
  <c r="C29" i="16" s="1"/>
  <c r="C28" i="16" s="1"/>
  <c r="D29" i="16"/>
  <c r="D28" i="16" s="1"/>
  <c r="F27" i="16"/>
  <c r="G21" i="16"/>
  <c r="G18" i="16"/>
  <c r="C18" i="16"/>
  <c r="F16" i="16"/>
  <c r="G15" i="16"/>
  <c r="C15" i="16"/>
  <c r="C14" i="16" s="1"/>
  <c r="F13" i="16"/>
  <c r="C12" i="16"/>
  <c r="C11" i="16" s="1"/>
  <c r="F9" i="16"/>
  <c r="G8" i="16"/>
  <c r="C8" i="16"/>
  <c r="F8" i="16" s="1"/>
  <c r="D69" i="15"/>
  <c r="C69" i="15"/>
  <c r="C68" i="15" s="1"/>
  <c r="C66" i="15"/>
  <c r="G61" i="15"/>
  <c r="D59" i="15"/>
  <c r="D53" i="15"/>
  <c r="C54" i="15"/>
  <c r="C53" i="15" s="1"/>
  <c r="D51" i="15"/>
  <c r="F49" i="15"/>
  <c r="F48" i="15"/>
  <c r="D47" i="15"/>
  <c r="F37" i="15"/>
  <c r="F32" i="15"/>
  <c r="F30" i="15"/>
  <c r="G12" i="15"/>
  <c r="D10" i="15"/>
  <c r="D8" i="15"/>
  <c r="E40" i="14"/>
  <c r="C40" i="14"/>
  <c r="G38" i="14"/>
  <c r="F38" i="14"/>
  <c r="E36" i="14"/>
  <c r="E32" i="14"/>
  <c r="G30" i="14"/>
  <c r="E28" i="14"/>
  <c r="D28" i="14"/>
  <c r="C28" i="14"/>
  <c r="G27" i="14"/>
  <c r="G26" i="14"/>
  <c r="E24" i="14"/>
  <c r="D16" i="14"/>
  <c r="G14" i="14"/>
  <c r="G11" i="14"/>
  <c r="E8" i="14"/>
  <c r="G7" i="14"/>
  <c r="F7" i="14"/>
  <c r="E42" i="14"/>
  <c r="F6" i="14"/>
  <c r="G31" i="14" l="1"/>
  <c r="D42" i="14"/>
  <c r="D36" i="14"/>
  <c r="G34" i="14"/>
  <c r="D6" i="16"/>
  <c r="D5" i="16" s="1"/>
  <c r="I10" i="16" s="1"/>
  <c r="F25" i="16"/>
  <c r="E24" i="16"/>
  <c r="G24" i="16" s="1"/>
  <c r="F14" i="16"/>
  <c r="F11" i="16"/>
  <c r="E58" i="15"/>
  <c r="E57" i="15" s="1"/>
  <c r="H13" i="1" s="1"/>
  <c r="H13" i="13" s="1"/>
  <c r="F61" i="15"/>
  <c r="G51" i="15"/>
  <c r="G47" i="15"/>
  <c r="F47" i="15"/>
  <c r="G28" i="15"/>
  <c r="E15" i="15"/>
  <c r="E6" i="15" s="1"/>
  <c r="H12" i="1" s="1"/>
  <c r="H12" i="13" s="1"/>
  <c r="G10" i="15"/>
  <c r="D46" i="15"/>
  <c r="G46" i="15" s="1"/>
  <c r="G21" i="15"/>
  <c r="E6" i="16"/>
  <c r="H9" i="1" s="1"/>
  <c r="H9" i="13" s="1"/>
  <c r="C16" i="15"/>
  <c r="F16" i="15" s="1"/>
  <c r="F17" i="15"/>
  <c r="F38" i="15"/>
  <c r="C21" i="15"/>
  <c r="C28" i="15"/>
  <c r="F28" i="15" s="1"/>
  <c r="F9" i="15"/>
  <c r="F26" i="15"/>
  <c r="G8" i="15"/>
  <c r="F8" i="15"/>
  <c r="D50" i="15"/>
  <c r="G50" i="15" s="1"/>
  <c r="F26" i="16"/>
  <c r="F21" i="16"/>
  <c r="F12" i="16"/>
  <c r="C58" i="15"/>
  <c r="F44" i="15"/>
  <c r="C10" i="15"/>
  <c r="F10" i="15" s="1"/>
  <c r="C12" i="15"/>
  <c r="F12" i="15" s="1"/>
  <c r="G35" i="14"/>
  <c r="D32" i="14"/>
  <c r="G23" i="14"/>
  <c r="I6" i="14"/>
  <c r="M6" i="14" s="1"/>
  <c r="D43" i="14"/>
  <c r="C36" i="14"/>
  <c r="F14" i="14"/>
  <c r="G22" i="14"/>
  <c r="D40" i="14"/>
  <c r="C32" i="14"/>
  <c r="D20" i="14"/>
  <c r="C15" i="14"/>
  <c r="F15" i="14" s="1"/>
  <c r="C24" i="14"/>
  <c r="F23" i="14"/>
  <c r="C41" i="14"/>
  <c r="E28" i="16"/>
  <c r="C7" i="16"/>
  <c r="F7" i="16" s="1"/>
  <c r="C24" i="16"/>
  <c r="F24" i="16" s="1"/>
  <c r="F15" i="16"/>
  <c r="C6" i="16"/>
  <c r="F18" i="16"/>
  <c r="D7" i="15"/>
  <c r="D58" i="15"/>
  <c r="D68" i="15"/>
  <c r="D15" i="15"/>
  <c r="G15" i="15" s="1"/>
  <c r="C46" i="15"/>
  <c r="F46" i="15" s="1"/>
  <c r="E43" i="14"/>
  <c r="F19" i="14"/>
  <c r="C12" i="14"/>
  <c r="E16" i="14"/>
  <c r="C20" i="14"/>
  <c r="F11" i="14"/>
  <c r="D12" i="14"/>
  <c r="G15" i="14"/>
  <c r="F18" i="14"/>
  <c r="E20" i="14"/>
  <c r="F31" i="14"/>
  <c r="C8" i="14"/>
  <c r="F10" i="14"/>
  <c r="E12" i="14"/>
  <c r="G18" i="14"/>
  <c r="F35" i="14"/>
  <c r="F39" i="14"/>
  <c r="D8" i="14"/>
  <c r="G10" i="14"/>
  <c r="G9" i="1" l="1"/>
  <c r="G9" i="13" s="1"/>
  <c r="E5" i="16"/>
  <c r="G5" i="16" s="1"/>
  <c r="E5" i="15"/>
  <c r="C5" i="16"/>
  <c r="I5" i="16" s="1"/>
  <c r="F9" i="13"/>
  <c r="C57" i="15"/>
  <c r="F13" i="1" s="1"/>
  <c r="F13" i="13" s="1"/>
  <c r="C15" i="15"/>
  <c r="F15" i="15" s="1"/>
  <c r="G6" i="16"/>
  <c r="F21" i="15"/>
  <c r="C17" i="16"/>
  <c r="F17" i="16" s="1"/>
  <c r="F58" i="15"/>
  <c r="C7" i="15"/>
  <c r="F7" i="15" s="1"/>
  <c r="C16" i="14"/>
  <c r="C42" i="14"/>
  <c r="G58" i="15"/>
  <c r="D57" i="15"/>
  <c r="G7" i="15"/>
  <c r="D6" i="15"/>
  <c r="G12" i="13" s="1"/>
  <c r="G57" i="15" l="1"/>
  <c r="G13" i="13"/>
  <c r="F5" i="16"/>
  <c r="I57" i="15"/>
  <c r="F57" i="15"/>
  <c r="C6" i="15"/>
  <c r="F12" i="1" s="1"/>
  <c r="F12" i="13" s="1"/>
  <c r="C43" i="14"/>
  <c r="G6" i="15"/>
  <c r="D5" i="15"/>
  <c r="C5" i="15" l="1"/>
  <c r="F5" i="15" s="1"/>
  <c r="F6" i="15"/>
  <c r="G5" i="15"/>
  <c r="H404" i="7" l="1"/>
  <c r="H385" i="7"/>
  <c r="H352" i="7"/>
  <c r="H346" i="7"/>
  <c r="H274" i="7"/>
  <c r="G311" i="7" l="1"/>
  <c r="G278" i="7"/>
  <c r="F224" i="7"/>
  <c r="G414" i="7" l="1"/>
  <c r="G389" i="7"/>
  <c r="F389" i="7"/>
  <c r="G294" i="7"/>
  <c r="G293" i="7" s="1"/>
  <c r="G237" i="7"/>
  <c r="F237" i="7"/>
  <c r="G236" i="7"/>
  <c r="G235" i="7" s="1"/>
  <c r="F236" i="7"/>
  <c r="G232" i="7"/>
  <c r="F232" i="7"/>
  <c r="G226" i="7"/>
  <c r="G224" i="7"/>
  <c r="E224" i="7"/>
  <c r="G75" i="7"/>
  <c r="F75" i="7"/>
  <c r="G77" i="7"/>
  <c r="F77" i="7"/>
  <c r="G70" i="7"/>
  <c r="G63" i="7"/>
  <c r="F63" i="7"/>
  <c r="G61" i="7"/>
  <c r="F61" i="7"/>
  <c r="G54" i="7"/>
  <c r="G55" i="7"/>
  <c r="F55" i="7"/>
  <c r="F54" i="7"/>
  <c r="G408" i="7"/>
  <c r="G403" i="7"/>
  <c r="F403" i="7"/>
  <c r="F402" i="7" s="1"/>
  <c r="F401" i="7" s="1"/>
  <c r="F400" i="7" s="1"/>
  <c r="G398" i="7"/>
  <c r="F398" i="7"/>
  <c r="F397" i="7" s="1"/>
  <c r="G392" i="7"/>
  <c r="F392" i="7"/>
  <c r="G384" i="7"/>
  <c r="F384" i="7"/>
  <c r="F383" i="7" s="1"/>
  <c r="F382" i="7" s="1"/>
  <c r="G379" i="7"/>
  <c r="F374" i="7"/>
  <c r="F379" i="7"/>
  <c r="G369" i="7"/>
  <c r="G366" i="7"/>
  <c r="F369" i="7"/>
  <c r="F366" i="7"/>
  <c r="G357" i="7"/>
  <c r="G361" i="7"/>
  <c r="F361" i="7"/>
  <c r="F360" i="7" s="1"/>
  <c r="F359" i="7" s="1"/>
  <c r="H359" i="7" s="1"/>
  <c r="F357" i="7"/>
  <c r="F356" i="7" s="1"/>
  <c r="F355" i="7" s="1"/>
  <c r="G335" i="7"/>
  <c r="G337" i="7"/>
  <c r="G339" i="7"/>
  <c r="G343" i="7"/>
  <c r="G345" i="7"/>
  <c r="G347" i="7"/>
  <c r="G351" i="7"/>
  <c r="F347" i="7"/>
  <c r="F345" i="7"/>
  <c r="F343" i="7"/>
  <c r="F339" i="7"/>
  <c r="F337" i="7"/>
  <c r="F335" i="7"/>
  <c r="G329" i="7"/>
  <c r="F329" i="7"/>
  <c r="F328" i="7" s="1"/>
  <c r="F327" i="7" s="1"/>
  <c r="F326" i="7" s="1"/>
  <c r="G321" i="7"/>
  <c r="G324" i="7"/>
  <c r="F321" i="7"/>
  <c r="F324" i="7"/>
  <c r="F293" i="7"/>
  <c r="F296" i="7"/>
  <c r="F301" i="7"/>
  <c r="G317" i="7"/>
  <c r="G316" i="7" s="1"/>
  <c r="F311" i="7"/>
  <c r="H311" i="7" s="1"/>
  <c r="F316" i="7"/>
  <c r="F351" i="7"/>
  <c r="F350" i="7" s="1"/>
  <c r="G281" i="7"/>
  <c r="G277" i="7" s="1"/>
  <c r="G276" i="7" s="1"/>
  <c r="G275" i="7" s="1"/>
  <c r="F278" i="7"/>
  <c r="F281" i="7"/>
  <c r="F269" i="7"/>
  <c r="G273" i="7"/>
  <c r="G269" i="7"/>
  <c r="F273" i="7"/>
  <c r="F242" i="7"/>
  <c r="G245" i="7"/>
  <c r="F245" i="7"/>
  <c r="G251" i="7"/>
  <c r="F251" i="7"/>
  <c r="G258" i="7"/>
  <c r="F258" i="7"/>
  <c r="G262" i="7"/>
  <c r="F262" i="7"/>
  <c r="F261" i="7" s="1"/>
  <c r="G242" i="7"/>
  <c r="G241" i="7" s="1"/>
  <c r="G230" i="7"/>
  <c r="F230" i="7"/>
  <c r="G156" i="7"/>
  <c r="F156" i="7"/>
  <c r="F155" i="7" s="1"/>
  <c r="G153" i="7"/>
  <c r="F153" i="7"/>
  <c r="G151" i="7"/>
  <c r="F151" i="7"/>
  <c r="G149" i="7"/>
  <c r="F149" i="7"/>
  <c r="G143" i="7"/>
  <c r="F143" i="7"/>
  <c r="F142" i="7" s="1"/>
  <c r="G140" i="7"/>
  <c r="F140" i="7"/>
  <c r="G138" i="7"/>
  <c r="F138" i="7"/>
  <c r="G136" i="7"/>
  <c r="F136" i="7"/>
  <c r="G129" i="7"/>
  <c r="F129" i="7"/>
  <c r="F128" i="7" s="1"/>
  <c r="G126" i="7"/>
  <c r="F126" i="7"/>
  <c r="G124" i="7"/>
  <c r="F124" i="7"/>
  <c r="G122" i="7"/>
  <c r="F122" i="7"/>
  <c r="F235" i="7" l="1"/>
  <c r="H54" i="7"/>
  <c r="F354" i="7"/>
  <c r="F148" i="7"/>
  <c r="F147" i="7" s="1"/>
  <c r="G148" i="7"/>
  <c r="F121" i="7"/>
  <c r="H379" i="7"/>
  <c r="G374" i="7"/>
  <c r="H374" i="7" s="1"/>
  <c r="H293" i="7"/>
  <c r="G296" i="7"/>
  <c r="H296" i="7" s="1"/>
  <c r="G301" i="7"/>
  <c r="H301" i="7" s="1"/>
  <c r="H251" i="7"/>
  <c r="H273" i="7"/>
  <c r="H345" i="7"/>
  <c r="F60" i="7"/>
  <c r="F59" i="7" s="1"/>
  <c r="F58" i="7" s="1"/>
  <c r="F57" i="7" s="1"/>
  <c r="H153" i="7"/>
  <c r="H337" i="7"/>
  <c r="F365" i="7"/>
  <c r="F364" i="7" s="1"/>
  <c r="F363" i="7" s="1"/>
  <c r="F277" i="7"/>
  <c r="F276" i="7" s="1"/>
  <c r="H63" i="7"/>
  <c r="H324" i="7"/>
  <c r="G383" i="7"/>
  <c r="H384" i="7"/>
  <c r="H403" i="7"/>
  <c r="F135" i="7"/>
  <c r="F134" i="7" s="1"/>
  <c r="F133" i="7" s="1"/>
  <c r="H151" i="7"/>
  <c r="H230" i="7"/>
  <c r="H258" i="7"/>
  <c r="H281" i="7"/>
  <c r="H321" i="7"/>
  <c r="F342" i="7"/>
  <c r="H343" i="7"/>
  <c r="G360" i="7"/>
  <c r="H360" i="7" s="1"/>
  <c r="H361" i="7"/>
  <c r="H124" i="7"/>
  <c r="H136" i="7"/>
  <c r="H143" i="7"/>
  <c r="H242" i="7"/>
  <c r="H269" i="7"/>
  <c r="H339" i="7"/>
  <c r="G356" i="7"/>
  <c r="H357" i="7"/>
  <c r="H392" i="7"/>
  <c r="G407" i="7"/>
  <c r="H408" i="7"/>
  <c r="G60" i="7"/>
  <c r="H61" i="7"/>
  <c r="H138" i="7"/>
  <c r="G350" i="7"/>
  <c r="H350" i="7" s="1"/>
  <c r="H351" i="7"/>
  <c r="H398" i="7"/>
  <c r="H226" i="7"/>
  <c r="G223" i="7"/>
  <c r="H149" i="7"/>
  <c r="G261" i="7"/>
  <c r="H261" i="7" s="1"/>
  <c r="H262" i="7"/>
  <c r="H347" i="7"/>
  <c r="G365" i="7"/>
  <c r="H366" i="7"/>
  <c r="F223" i="7"/>
  <c r="F222" i="7" s="1"/>
  <c r="F221" i="7" s="1"/>
  <c r="H232" i="7"/>
  <c r="H278" i="7"/>
  <c r="G328" i="7"/>
  <c r="H329" i="7"/>
  <c r="F396" i="7"/>
  <c r="H397" i="7"/>
  <c r="H126" i="7"/>
  <c r="H335" i="7"/>
  <c r="H77" i="7"/>
  <c r="G155" i="7"/>
  <c r="H155" i="7" s="1"/>
  <c r="H156" i="7"/>
  <c r="H245" i="7"/>
  <c r="G388" i="7"/>
  <c r="H389" i="7"/>
  <c r="H122" i="7"/>
  <c r="G128" i="7"/>
  <c r="H128" i="7" s="1"/>
  <c r="H129" i="7"/>
  <c r="H140" i="7"/>
  <c r="G121" i="7"/>
  <c r="G268" i="7"/>
  <c r="F320" i="7"/>
  <c r="F319" i="7" s="1"/>
  <c r="F388" i="7"/>
  <c r="F387" i="7" s="1"/>
  <c r="F386" i="7" s="1"/>
  <c r="G320" i="7"/>
  <c r="F373" i="7"/>
  <c r="F372" i="7" s="1"/>
  <c r="F371" i="7" s="1"/>
  <c r="F268" i="7"/>
  <c r="F267" i="7" s="1"/>
  <c r="G413" i="7"/>
  <c r="G342" i="7"/>
  <c r="G334" i="7"/>
  <c r="H55" i="7"/>
  <c r="G142" i="7"/>
  <c r="H142" i="7" s="1"/>
  <c r="F241" i="7"/>
  <c r="F240" i="7" s="1"/>
  <c r="G402" i="7"/>
  <c r="G135" i="7"/>
  <c r="F292" i="7"/>
  <c r="F291" i="7" s="1"/>
  <c r="F334" i="7"/>
  <c r="F120" i="7" l="1"/>
  <c r="F119" i="7" s="1"/>
  <c r="G240" i="7"/>
  <c r="H240" i="7" s="1"/>
  <c r="F239" i="7"/>
  <c r="G373" i="7"/>
  <c r="H373" i="7" s="1"/>
  <c r="G147" i="7"/>
  <c r="G146" i="7" s="1"/>
  <c r="H277" i="7"/>
  <c r="H241" i="7"/>
  <c r="H223" i="7"/>
  <c r="F275" i="7"/>
  <c r="G292" i="7"/>
  <c r="G291" i="7" s="1"/>
  <c r="H291" i="7" s="1"/>
  <c r="H121" i="7"/>
  <c r="F146" i="7"/>
  <c r="G222" i="7"/>
  <c r="H222" i="7" s="1"/>
  <c r="F353" i="7"/>
  <c r="F333" i="7"/>
  <c r="F332" i="7" s="1"/>
  <c r="F331" i="7" s="1"/>
  <c r="G406" i="7"/>
  <c r="H406" i="7" s="1"/>
  <c r="H407" i="7"/>
  <c r="F395" i="7"/>
  <c r="H395" i="7" s="1"/>
  <c r="H396" i="7"/>
  <c r="F290" i="7"/>
  <c r="G333" i="7"/>
  <c r="H334" i="7"/>
  <c r="G319" i="7"/>
  <c r="H319" i="7" s="1"/>
  <c r="H320" i="7"/>
  <c r="G267" i="7"/>
  <c r="H267" i="7" s="1"/>
  <c r="H268" i="7"/>
  <c r="G134" i="7"/>
  <c r="H135" i="7"/>
  <c r="H342" i="7"/>
  <c r="G327" i="7"/>
  <c r="H328" i="7"/>
  <c r="H148" i="7"/>
  <c r="G412" i="7"/>
  <c r="G411" i="7" s="1"/>
  <c r="G410" i="7" s="1"/>
  <c r="G355" i="7"/>
  <c r="H356" i="7"/>
  <c r="G59" i="7"/>
  <c r="H60" i="7"/>
  <c r="G382" i="7"/>
  <c r="H382" i="7" s="1"/>
  <c r="H383" i="7"/>
  <c r="G401" i="7"/>
  <c r="G400" i="7" s="1"/>
  <c r="H402" i="7"/>
  <c r="G387" i="7"/>
  <c r="H388" i="7"/>
  <c r="G372" i="7"/>
  <c r="H276" i="7"/>
  <c r="G120" i="7"/>
  <c r="G364" i="7"/>
  <c r="H365" i="7"/>
  <c r="G239" i="7" l="1"/>
  <c r="H239" i="7" s="1"/>
  <c r="H292" i="7"/>
  <c r="F132" i="7"/>
  <c r="G221" i="7"/>
  <c r="H221" i="7" s="1"/>
  <c r="H275" i="7"/>
  <c r="H147" i="7"/>
  <c r="G386" i="7"/>
  <c r="H387" i="7"/>
  <c r="G58" i="7"/>
  <c r="H59" i="7"/>
  <c r="G326" i="7"/>
  <c r="H327" i="7"/>
  <c r="G133" i="7"/>
  <c r="G132" i="7" s="1"/>
  <c r="H134" i="7"/>
  <c r="G332" i="7"/>
  <c r="H333" i="7"/>
  <c r="G290" i="7"/>
  <c r="F394" i="7"/>
  <c r="H401" i="7"/>
  <c r="G354" i="7"/>
  <c r="H355" i="7"/>
  <c r="H372" i="7"/>
  <c r="G371" i="7"/>
  <c r="H371" i="7" s="1"/>
  <c r="G363" i="7"/>
  <c r="H363" i="7" s="1"/>
  <c r="H364" i="7"/>
  <c r="G119" i="7"/>
  <c r="H120" i="7"/>
  <c r="F220" i="7"/>
  <c r="G109" i="7"/>
  <c r="G113" i="7"/>
  <c r="G116" i="7"/>
  <c r="F111" i="7"/>
  <c r="G197" i="7"/>
  <c r="F197" i="7"/>
  <c r="F196" i="7" s="1"/>
  <c r="G102" i="7"/>
  <c r="F102" i="7"/>
  <c r="F101" i="7" s="1"/>
  <c r="F100" i="7" s="1"/>
  <c r="F99" i="7" s="1"/>
  <c r="F98" i="7" s="1"/>
  <c r="G96" i="7"/>
  <c r="F96" i="7"/>
  <c r="F95" i="7" s="1"/>
  <c r="F94" i="7" s="1"/>
  <c r="F93" i="7" s="1"/>
  <c r="F92" i="7" s="1"/>
  <c r="G89" i="7"/>
  <c r="F89" i="7"/>
  <c r="F88" i="7" s="1"/>
  <c r="F87" i="7" s="1"/>
  <c r="F86" i="7" s="1"/>
  <c r="F85" i="7" s="1"/>
  <c r="F83" i="7" s="1"/>
  <c r="F82" i="7" s="1"/>
  <c r="F81" i="7" s="1"/>
  <c r="F80" i="7" s="1"/>
  <c r="F79" i="7" s="1"/>
  <c r="G73" i="7"/>
  <c r="G69" i="7" s="1"/>
  <c r="F73" i="7"/>
  <c r="F70" i="7"/>
  <c r="G35" i="7"/>
  <c r="F35" i="7"/>
  <c r="G40" i="7"/>
  <c r="F40" i="7"/>
  <c r="G49" i="7"/>
  <c r="F49" i="7"/>
  <c r="H11" i="7"/>
  <c r="G10" i="7"/>
  <c r="F10" i="7"/>
  <c r="G196" i="7" l="1"/>
  <c r="H196" i="7" s="1"/>
  <c r="H197" i="7"/>
  <c r="H146" i="7"/>
  <c r="H132" i="7"/>
  <c r="F195" i="7"/>
  <c r="F194" i="7" s="1"/>
  <c r="F193" i="7" s="1"/>
  <c r="F192" i="7" s="1"/>
  <c r="H111" i="7"/>
  <c r="F219" i="7"/>
  <c r="F69" i="7"/>
  <c r="F68" i="7" s="1"/>
  <c r="F67" i="7" s="1"/>
  <c r="G95" i="7"/>
  <c r="H109" i="7"/>
  <c r="G394" i="7"/>
  <c r="H394" i="7" s="1"/>
  <c r="H400" i="7"/>
  <c r="H133" i="7"/>
  <c r="H386" i="7"/>
  <c r="F9" i="7"/>
  <c r="F8" i="7" s="1"/>
  <c r="G9" i="7"/>
  <c r="H10" i="7"/>
  <c r="G101" i="7"/>
  <c r="H102" i="7"/>
  <c r="H290" i="7"/>
  <c r="H326" i="7"/>
  <c r="F30" i="7"/>
  <c r="G88" i="7"/>
  <c r="H113" i="7"/>
  <c r="H119" i="7"/>
  <c r="H354" i="7"/>
  <c r="G353" i="7"/>
  <c r="H353" i="7" s="1"/>
  <c r="G331" i="7"/>
  <c r="H331" i="7" s="1"/>
  <c r="H332" i="7"/>
  <c r="G57" i="7"/>
  <c r="H57" i="7" s="1"/>
  <c r="H58" i="7"/>
  <c r="G115" i="7"/>
  <c r="H115" i="7" s="1"/>
  <c r="H116" i="7"/>
  <c r="G220" i="7"/>
  <c r="F108" i="7"/>
  <c r="G30" i="7"/>
  <c r="H40" i="7"/>
  <c r="G108" i="7"/>
  <c r="H49" i="7"/>
  <c r="H35" i="7"/>
  <c r="H31" i="7"/>
  <c r="G219" i="7" l="1"/>
  <c r="G195" i="7"/>
  <c r="G194" i="7" s="1"/>
  <c r="F66" i="7"/>
  <c r="G107" i="7"/>
  <c r="H108" i="7"/>
  <c r="F29" i="7"/>
  <c r="F28" i="7" s="1"/>
  <c r="G100" i="7"/>
  <c r="H101" i="7"/>
  <c r="F7" i="7"/>
  <c r="F6" i="7" s="1"/>
  <c r="G68" i="7"/>
  <c r="H69" i="7"/>
  <c r="G29" i="7"/>
  <c r="H30" i="7"/>
  <c r="G8" i="7"/>
  <c r="H9" i="7"/>
  <c r="G94" i="7"/>
  <c r="H220" i="7"/>
  <c r="F107" i="7"/>
  <c r="F106" i="7" s="1"/>
  <c r="F105" i="7" s="1"/>
  <c r="G87" i="7"/>
  <c r="F65" i="7" l="1"/>
  <c r="H195" i="7"/>
  <c r="G193" i="7"/>
  <c r="H194" i="7"/>
  <c r="G106" i="7"/>
  <c r="H107" i="7"/>
  <c r="H29" i="7"/>
  <c r="G28" i="7"/>
  <c r="G99" i="7"/>
  <c r="H100" i="7"/>
  <c r="G86" i="7"/>
  <c r="G67" i="7"/>
  <c r="H68" i="7"/>
  <c r="F27" i="7"/>
  <c r="F26" i="7" s="1"/>
  <c r="F4" i="7" s="1"/>
  <c r="H219" i="7"/>
  <c r="G93" i="7"/>
  <c r="G7" i="7"/>
  <c r="H8" i="7"/>
  <c r="H20" i="13"/>
  <c r="G20" i="13"/>
  <c r="F20" i="13"/>
  <c r="H19" i="13"/>
  <c r="G19" i="13"/>
  <c r="F19" i="13"/>
  <c r="G10" i="1"/>
  <c r="G10" i="13" s="1"/>
  <c r="G8" i="13" s="1"/>
  <c r="G192" i="7" l="1"/>
  <c r="H193" i="7"/>
  <c r="G27" i="7"/>
  <c r="G26" i="7" s="1"/>
  <c r="H28" i="7"/>
  <c r="G66" i="7"/>
  <c r="H67" i="7"/>
  <c r="G85" i="7"/>
  <c r="G105" i="7"/>
  <c r="H106" i="7"/>
  <c r="G92" i="7"/>
  <c r="G6" i="7"/>
  <c r="H7" i="7"/>
  <c r="G98" i="7"/>
  <c r="H98" i="7" s="1"/>
  <c r="H99" i="7"/>
  <c r="H192" i="7" l="1"/>
  <c r="H66" i="7"/>
  <c r="G83" i="7"/>
  <c r="H105" i="7"/>
  <c r="H6" i="7"/>
  <c r="H27" i="7"/>
  <c r="G82" i="7" l="1"/>
  <c r="H83" i="7"/>
  <c r="H26" i="7"/>
  <c r="G81" i="7" l="1"/>
  <c r="H82" i="7"/>
  <c r="H81" i="7" l="1"/>
  <c r="G80" i="7"/>
  <c r="G79" i="7" l="1"/>
  <c r="G65" i="7" s="1"/>
  <c r="H80" i="7"/>
  <c r="G4" i="7" l="1"/>
  <c r="H79" i="7"/>
  <c r="H65" i="7" l="1"/>
  <c r="H10" i="1" l="1"/>
  <c r="H10" i="13" s="1"/>
  <c r="H8" i="13" s="1"/>
  <c r="F11" i="1" l="1"/>
  <c r="G8" i="1" l="1"/>
  <c r="G14" i="1" s="1"/>
  <c r="F8" i="1" l="1"/>
  <c r="F14" i="1" s="1"/>
  <c r="H11" i="13" l="1"/>
  <c r="H14" i="13" s="1"/>
  <c r="H11" i="1" l="1"/>
  <c r="H8" i="1" l="1"/>
  <c r="H14" i="1" s="1"/>
  <c r="F8" i="13"/>
  <c r="F11" i="13"/>
  <c r="G11" i="13"/>
  <c r="G14" i="13" s="1"/>
  <c r="F14" i="13" l="1"/>
</calcChain>
</file>

<file path=xl/comments1.xml><?xml version="1.0" encoding="utf-8"?>
<comments xmlns="http://schemas.openxmlformats.org/spreadsheetml/2006/main">
  <authors>
    <author>Katarina</author>
  </authors>
  <commentList>
    <comment ref="E1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26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2023: 357.223,90 kn ;   47.411,76 EUR
</t>
        </r>
      </text>
    </comment>
    <comment ref="E6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limit:267.973,10 kn ; 35.566,14 EUR
</t>
        </r>
      </text>
    </comment>
    <comment ref="F6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34.059,47 EUR</t>
        </r>
      </text>
    </comment>
    <comment ref="E7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
</t>
        </r>
      </text>
    </comment>
    <comment ref="E8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
</t>
        </r>
      </text>
    </comment>
    <comment ref="E93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</t>
        </r>
      </text>
    </comment>
    <comment ref="E98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E10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E21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fp 2022 VANŽUPANIJSKI: 8.217.086KN;  1.090.594,73 eur</t>
        </r>
      </text>
    </comment>
  </commentList>
</comments>
</file>

<file path=xl/sharedStrings.xml><?xml version="1.0" encoding="utf-8"?>
<sst xmlns="http://schemas.openxmlformats.org/spreadsheetml/2006/main" count="1068" uniqueCount="410">
  <si>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</si>
  <si>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</si>
  <si>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</si>
  <si>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</si>
  <si>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</si>
  <si>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</si>
  <si>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</si>
  <si>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</si>
  <si>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</si>
  <si>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</si>
  <si>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</si>
  <si>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</si>
  <si>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</si>
  <si>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</si>
  <si>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</si>
  <si>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</si>
  <si>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</si>
  <si>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</si>
  <si>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</si>
  <si>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</si>
  <si>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</si>
  <si>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</si>
  <si>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</si>
  <si>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</si>
  <si>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</si>
  <si>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</si>
  <si>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</si>
  <si>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</si>
  <si>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</si>
  <si>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</si>
  <si>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</si>
  <si>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</si>
  <si>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</si>
  <si>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Ostali prihodi za posebne namjene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</si>
  <si>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</si>
  <si>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</si>
  <si>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1.1.</t>
  </si>
  <si>
    <t>3.3.</t>
  </si>
  <si>
    <t>5.K.</t>
  </si>
  <si>
    <t>KAPITALNO ULAGANJE U OSNOVNO ŠKOLSTVO</t>
  </si>
  <si>
    <t>Poslovni objekti</t>
  </si>
  <si>
    <t>MINIMALNI STANDARD U OSNOVNOM ŠKOLSTVU- MATERIJALNI I FINANCIJSKI RASHODI-decentralizirana sredstva</t>
  </si>
  <si>
    <t>Aktivnost A100001</t>
  </si>
  <si>
    <t xml:space="preserve">Rashodi poslovanja </t>
  </si>
  <si>
    <t>Službena putovanja</t>
  </si>
  <si>
    <t>Stručno usavršavanje zaposlenika</t>
  </si>
  <si>
    <t>Uredski mater.i ost.mater.rashodi</t>
  </si>
  <si>
    <t>Energija</t>
  </si>
  <si>
    <t>Sitni inventar i auto-gume</t>
  </si>
  <si>
    <t>Služb.radna i zaštitna odjeća i obuća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</si>
  <si>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</si>
  <si>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</si>
  <si>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</si>
  <si>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</si>
  <si>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</si>
  <si>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</si>
  <si>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</si>
  <si>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</si>
  <si>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</si>
  <si>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Članarine</t>
  </si>
  <si>
    <t>Naknade i pristojbe</t>
  </si>
  <si>
    <t>Ostali nespomenuti rashodi poslovanja</t>
  </si>
  <si>
    <t>Bankarske usluge i usluge pl.prometa</t>
  </si>
  <si>
    <t>Aktivnost A100002</t>
  </si>
  <si>
    <t>Rashodi za materijal i energiju</t>
  </si>
  <si>
    <t>Mater.i dijelovi za tekuće i invest.održ.</t>
  </si>
  <si>
    <t>Rashodi za usluge</t>
  </si>
  <si>
    <t>Usluge tekućeg i invest.održavanja</t>
  </si>
  <si>
    <t>POJAČANI STANDARD U ŠKOLSTVU</t>
  </si>
  <si>
    <t>Tekući projekt T100003</t>
  </si>
  <si>
    <t>Naknade za rad predst.i izvršnih tijela</t>
  </si>
  <si>
    <t>Ostali nespomenuti rashodi</t>
  </si>
  <si>
    <t>Tekući projekt T100006</t>
  </si>
  <si>
    <t>Tekući projekt T100027</t>
  </si>
  <si>
    <t>Plaće za redovan rad</t>
  </si>
  <si>
    <t>Ostali rashodi za zaposlene</t>
  </si>
  <si>
    <t>Doprinosi na plaće</t>
  </si>
  <si>
    <t>Doprinosi za obvezno zdr.osiguranje</t>
  </si>
  <si>
    <t>Naknade troškova zaposlenima</t>
  </si>
  <si>
    <t>Naknade za prijevoz, rad na terenu</t>
  </si>
  <si>
    <t>KAPITALNO ULAGANJE</t>
  </si>
  <si>
    <t>OPREMA ŠKOLA</t>
  </si>
  <si>
    <t xml:space="preserve">Tekući projekt T100002 </t>
  </si>
  <si>
    <t>TEKUĆE I INVESTICIJSKO ODRŽAVANJE U ŠKOLSTVU</t>
  </si>
  <si>
    <t>PROGRAMI OSNOVNIH ŠKOLA IZVAN ŽUPANIJSKOG PRORAČUNA</t>
  </si>
  <si>
    <t>Sitan inventar</t>
  </si>
  <si>
    <t>Usluge tekućeg i investicisjkog održavanja</t>
  </si>
  <si>
    <t>Premije osiguranja</t>
  </si>
  <si>
    <t>Financijski rashodi</t>
  </si>
  <si>
    <t>Bankarske usluge i usluge platbog promet</t>
  </si>
  <si>
    <t>Zatezne kamate</t>
  </si>
  <si>
    <t>Tekuće donacije</t>
  </si>
  <si>
    <t>Tekuće donacije u novcu</t>
  </si>
  <si>
    <t>Rashodi za nabavu proizvedene dugotrajne  imovine</t>
  </si>
  <si>
    <t>Postrojenja i oprema</t>
  </si>
  <si>
    <t>Uredska oprema i namještaj</t>
  </si>
  <si>
    <t>Oprema za održavanje i zaštitu</t>
  </si>
  <si>
    <t>Uređaji, strojevi i oprema za ost.namjene</t>
  </si>
  <si>
    <t>Knjige u knjižnicama</t>
  </si>
  <si>
    <t>Doprinosi za obv.osig.u slučaju nezaposlenosti</t>
  </si>
  <si>
    <t>Naknada za nezapošlj.invalida</t>
  </si>
  <si>
    <t>Troškovi sudskih postupaka</t>
  </si>
  <si>
    <t>Ostali financijski rashodi</t>
  </si>
  <si>
    <t>Materijal i sirovine</t>
  </si>
  <si>
    <t>Uređaji, strojevi i oprema za ostale namjene</t>
  </si>
  <si>
    <t>Tekući projekt T100020</t>
  </si>
  <si>
    <t>Uredski mater.i ost.mater.ras.-udžben.</t>
  </si>
  <si>
    <t>Knjige i udžbenici</t>
  </si>
  <si>
    <t>Aktivnost A100003</t>
  </si>
  <si>
    <t>Aktivnost A10001</t>
  </si>
  <si>
    <t>Izvor financiranja 4.1.</t>
  </si>
  <si>
    <t>Decentralizirana sredstva OŠ</t>
  </si>
  <si>
    <t>PROGRAM 1001</t>
  </si>
  <si>
    <t>Aktivnost A10002</t>
  </si>
  <si>
    <t>Tekuće i investicijsko održavanje</t>
  </si>
  <si>
    <t>Županijska stručna vijeća</t>
  </si>
  <si>
    <t>Izvor financiranja 1.1.</t>
  </si>
  <si>
    <t>Natjecanja</t>
  </si>
  <si>
    <t>Ostale izvanškolske aktivnosti</t>
  </si>
  <si>
    <t>Tekući projekt T100054</t>
  </si>
  <si>
    <t>Prsten potpore V</t>
  </si>
  <si>
    <t>Minist. znanosti, obrazov. i sporta-ESF.</t>
  </si>
  <si>
    <t>E-tehničar</t>
  </si>
  <si>
    <t>Tekući projekt T100041</t>
  </si>
  <si>
    <t>Izvor financiranja 3.3.</t>
  </si>
  <si>
    <t>POTICANJE KORIŠTENJA SREDSTAVA IZ FONDOVA EU</t>
  </si>
  <si>
    <t>Tekući projekt T 100011</t>
  </si>
  <si>
    <t>Školska shema voća, povrća te mlijeka i mliječnih proizvoda</t>
  </si>
  <si>
    <t>Izvor financiranja 5.Đ.</t>
  </si>
  <si>
    <t>Ministarstvo poljoprivrede</t>
  </si>
  <si>
    <t>Naknade građanima i kućanstvima u naravi</t>
  </si>
  <si>
    <t>Izvor financiranja 3.7.</t>
  </si>
  <si>
    <t>Vlastiti prihodi-višak prihoda</t>
  </si>
  <si>
    <t>Izvor financiranja 4.L.</t>
  </si>
  <si>
    <t>Prihodi za posebne namjene</t>
  </si>
  <si>
    <t>Izvor financiranja 5.K.</t>
  </si>
  <si>
    <t>Pomoći</t>
  </si>
  <si>
    <t>Donacije</t>
  </si>
  <si>
    <t>Administrativno, tehničko i stručno osoblje</t>
  </si>
  <si>
    <t>Školska kuhinja</t>
  </si>
  <si>
    <t>Nabava udžbenika za učenike</t>
  </si>
  <si>
    <t>4.1.</t>
  </si>
  <si>
    <t>Decentralizirana sredstva</t>
  </si>
  <si>
    <t>3.7.</t>
  </si>
  <si>
    <t>4.L.</t>
  </si>
  <si>
    <t>5.Đ.</t>
  </si>
  <si>
    <t>UP</t>
  </si>
  <si>
    <t>UR</t>
  </si>
  <si>
    <t>Višak prihoda-Pomoći</t>
  </si>
  <si>
    <t>3431</t>
  </si>
  <si>
    <t>3293</t>
  </si>
  <si>
    <t>3291</t>
  </si>
  <si>
    <t>3299</t>
  </si>
  <si>
    <t>3111</t>
  </si>
  <si>
    <t>3121</t>
  </si>
  <si>
    <t>3132</t>
  </si>
  <si>
    <t>3211</t>
  </si>
  <si>
    <t>3212</t>
  </si>
  <si>
    <t>3238</t>
  </si>
  <si>
    <t>3224</t>
  </si>
  <si>
    <t>3232</t>
  </si>
  <si>
    <t>3433</t>
  </si>
  <si>
    <t>4221</t>
  </si>
  <si>
    <t>4223</t>
  </si>
  <si>
    <t>4227</t>
  </si>
  <si>
    <t>4241</t>
  </si>
  <si>
    <t>3292</t>
  </si>
  <si>
    <t>Zdravstvene i veterinarske usluge (covid)</t>
  </si>
  <si>
    <t>3236</t>
  </si>
  <si>
    <t>3133</t>
  </si>
  <si>
    <t>3295</t>
  </si>
  <si>
    <t>3296</t>
  </si>
  <si>
    <t>3221</t>
  </si>
  <si>
    <t>3222</t>
  </si>
  <si>
    <t>3225</t>
  </si>
  <si>
    <t>Izvor financiranja 5.D.</t>
  </si>
  <si>
    <t xml:space="preserve">Zdravstvene i veterinarske usluge </t>
  </si>
  <si>
    <t>3</t>
  </si>
  <si>
    <t>31</t>
  </si>
  <si>
    <t>311</t>
  </si>
  <si>
    <t>312</t>
  </si>
  <si>
    <t>313</t>
  </si>
  <si>
    <t>32</t>
  </si>
  <si>
    <t>321</t>
  </si>
  <si>
    <t>329</t>
  </si>
  <si>
    <t>MINIMALNI STANDARD U OSNOVNOM ŠKOLSTVU- MATERIJALNI I FINANCIJSKI RASHODI</t>
  </si>
  <si>
    <t>3213</t>
  </si>
  <si>
    <t>3214</t>
  </si>
  <si>
    <t>Ostale naknade troškova zaposlenima</t>
  </si>
  <si>
    <t>322</t>
  </si>
  <si>
    <t>3223</t>
  </si>
  <si>
    <t>3227</t>
  </si>
  <si>
    <t>Službena, radna i zaštitna odjeća i obuća</t>
  </si>
  <si>
    <t>323</t>
  </si>
  <si>
    <t>3231</t>
  </si>
  <si>
    <t>3234</t>
  </si>
  <si>
    <t>3237</t>
  </si>
  <si>
    <t>3239</t>
  </si>
  <si>
    <t>34</t>
  </si>
  <si>
    <t>343</t>
  </si>
  <si>
    <t>3233</t>
  </si>
  <si>
    <t>3235</t>
  </si>
  <si>
    <t>37</t>
  </si>
  <si>
    <t>372</t>
  </si>
  <si>
    <t>3722</t>
  </si>
  <si>
    <t>Usluge tekućeg i investicijskog održavanja</t>
  </si>
  <si>
    <t>4</t>
  </si>
  <si>
    <t>42</t>
  </si>
  <si>
    <t>Rashodi za nabavu proizvedene dugotrajne imovine</t>
  </si>
  <si>
    <t>421</t>
  </si>
  <si>
    <t>4212</t>
  </si>
  <si>
    <t>45</t>
  </si>
  <si>
    <t>451</t>
  </si>
  <si>
    <t>Dodatna ulaganja na građevinskim objektima</t>
  </si>
  <si>
    <t>4511</t>
  </si>
  <si>
    <t>381</t>
  </si>
  <si>
    <t>3811</t>
  </si>
  <si>
    <t>5.T.</t>
  </si>
  <si>
    <t>422</t>
  </si>
  <si>
    <t>424</t>
  </si>
  <si>
    <t>Knjige</t>
  </si>
  <si>
    <t>DONACIJE</t>
  </si>
  <si>
    <t>6.3.</t>
  </si>
  <si>
    <t>3812</t>
  </si>
  <si>
    <t>Tekuće donacije u naravi</t>
  </si>
  <si>
    <t>PROGRAM 1002</t>
  </si>
  <si>
    <t>PROGRAM 1003</t>
  </si>
  <si>
    <t>Aktivnost A 100001</t>
  </si>
  <si>
    <t>Tekuće i investicijsko održavanje u školstvu</t>
  </si>
  <si>
    <t>Osiguranje</t>
  </si>
  <si>
    <t>Izvor financiranja 6.3.</t>
  </si>
  <si>
    <t>Prsten potpore VI</t>
  </si>
  <si>
    <t>Tekući projekt T100055</t>
  </si>
  <si>
    <t>ukupno EUR:</t>
  </si>
  <si>
    <t>VIŠAK 3.7. i 5.D.</t>
  </si>
  <si>
    <t>Izvor financiranja 5.T.</t>
  </si>
  <si>
    <t>Voditelj računovodstva:</t>
  </si>
  <si>
    <t>Ravnatelj:</t>
  </si>
  <si>
    <t>Predsjednik Školskog odbora:</t>
  </si>
  <si>
    <t>Katarina Bečić Mutvar</t>
  </si>
  <si>
    <t>Mileo Todić</t>
  </si>
  <si>
    <t>Romana Orlić</t>
  </si>
  <si>
    <t>Tekući plan za 2023.</t>
  </si>
  <si>
    <t>Indeks 4/3*100</t>
  </si>
  <si>
    <t>Plaće bruto</t>
  </si>
  <si>
    <t>ostali rashodi za zaposlene</t>
  </si>
  <si>
    <t>Financijaki rashodi</t>
  </si>
  <si>
    <t>Uredski namještaj</t>
  </si>
  <si>
    <t>Opskrba besplatnim zalihama menstrualnih higijenskih potrepština</t>
  </si>
  <si>
    <t>Ostale tekuće donacije</t>
  </si>
  <si>
    <t>IZVRŠENJE PRIHODA I RASHODA PREMA IZVORIMA FINANCIRANJA</t>
  </si>
  <si>
    <t>Brojčana oznaka i naziv izvora financiranja</t>
  </si>
  <si>
    <t>Indeks 4/2</t>
  </si>
  <si>
    <t>Indeks 4/3</t>
  </si>
  <si>
    <t>Razlika</t>
  </si>
  <si>
    <t>Vlastiti prihodi-višak</t>
  </si>
  <si>
    <t>UKUPNO  PRIHODI</t>
  </si>
  <si>
    <t>UKUPNO RASHODI</t>
  </si>
  <si>
    <t>PRENESENI VIŠAK/MANJAK PRIHODA</t>
  </si>
  <si>
    <t>Izvorni plan 2023.</t>
  </si>
  <si>
    <t>OPĆI DIO</t>
  </si>
  <si>
    <t>IZVRŠENJE RASHODA PO EKONOMSKOJ KLASIFIKACIJI</t>
  </si>
  <si>
    <t>Konto</t>
  </si>
  <si>
    <t>INDEKS 5/3*100</t>
  </si>
  <si>
    <t>INDEKS 5/4*100</t>
  </si>
  <si>
    <t>RASHODI</t>
  </si>
  <si>
    <t>RASHODI ZA ZAPOSLENE</t>
  </si>
  <si>
    <t>PLAĆE (BRUTO)</t>
  </si>
  <si>
    <t>PLAĆE-BRUTO- ZA REDOVAN RAD</t>
  </si>
  <si>
    <t>-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</si>
  <si>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</si>
  <si>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</si>
  <si>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</si>
  <si>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</si>
  <si>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</si>
  <si>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</si>
  <si>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</si>
  <si>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</si>
  <si>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</si>
  <si>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</si>
  <si>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</si>
  <si>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</si>
  <si>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</si>
  <si>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</si>
  <si>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</si>
  <si>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</si>
  <si>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</si>
  <si>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</si>
  <si>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</si>
  <si>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</si>
  <si>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</si>
  <si>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NAJMANINE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</si>
  <si>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</si>
  <si>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</si>
  <si>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</si>
  <si>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</si>
  <si>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</si>
  <si>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PREDS.TIJELA</t>
  </si>
  <si>
    <t>PREMIJE OSIGURANJA</t>
  </si>
  <si>
    <t>REPREZENTACIJA</t>
  </si>
  <si>
    <t>ČLANARINE</t>
  </si>
  <si>
    <t>PRISTOJBE I NAKNADE</t>
  </si>
  <si>
    <t>TROŠKOVI SUDSKIH POSTUPAKA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</si>
  <si>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</si>
  <si>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</si>
  <si>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</si>
  <si>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</si>
  <si>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</si>
  <si>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</si>
  <si>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TEKUĆE DONACIJE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</si>
  <si>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</si>
  <si>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</si>
  <si>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</si>
  <si>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</si>
  <si>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</si>
  <si>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UREĐAJI, STROJEVI I OPREMA ZA OSTALE NAMJENE</t>
  </si>
  <si>
    <t>KNJIGE, UMJETNIČKA DJELA</t>
  </si>
  <si>
    <t>KNJIGE</t>
  </si>
  <si>
    <t>RASHODI ZA DODATNA ULAGANJA NA NEFINANCIJSKOJ IMOVINI</t>
  </si>
  <si>
    <t>DODATNA ULAGANJA NA GRAĐEVINSKIM OBJEKTIMA</t>
  </si>
  <si>
    <t>IZVRŠENJE PRIHODA PO EKONOMSKOJ KLASIFIKACIJI</t>
  </si>
  <si>
    <t>UKUPNI PRIHODI</t>
  </si>
  <si>
    <t>6</t>
  </si>
  <si>
    <t>63</t>
  </si>
  <si>
    <t>POMOĆI IZ INOZEMSTVA I OD SUBJEKATA UNUTAR OPĆEG PRORAČUNA</t>
  </si>
  <si>
    <t>636</t>
  </si>
  <si>
    <t>POMOĆI PRORAČUNSKIM KORISNICIMA IZ PRORAČUNA KOJI IME NIJE NADLEŽAN</t>
  </si>
  <si>
    <t>6361</t>
  </si>
  <si>
    <t>TEKUĆE POMOĆI PRORAČUNSKIM KORISNICIMA IZ PRORAČUNA KOJI IME NIJE NADLEŽAN</t>
  </si>
  <si>
    <t>6362</t>
  </si>
  <si>
    <t>KAPITALNE POMOĆI PRORAČUNSKIM KORISNICIMA IZ PRORAČUNA KOJI IME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</si>
  <si>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</si>
  <si>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</si>
  <si>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</si>
  <si>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</si>
  <si>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</si>
  <si>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</si>
  <si>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</si>
  <si>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</si>
  <si>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</si>
  <si>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</si>
  <si>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</si>
  <si>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</si>
  <si>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</si>
  <si>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OPD PRODAJE PROIZVODA, ROBA I USLUGA TE PRIHODI OD DONACIJA I POVRATI PROTEST.JAMSTAVA</t>
  </si>
  <si>
    <t>661</t>
  </si>
  <si>
    <t>PRIHODI OPD PRODAJE PROIZVODA, ROBA I USLUGA</t>
  </si>
  <si>
    <t>PRIHODI OD PRODAJE PROIZVODA</t>
  </si>
  <si>
    <t>6615</t>
  </si>
  <si>
    <t>PRIHODI OD PRUŽENIH USLUGA</t>
  </si>
  <si>
    <t>663</t>
  </si>
  <si>
    <t>DONACIJE OD PRAVNIH I FIZIČKIH OSOBA IZVAN OPĆEG PRORAČUNA</t>
  </si>
  <si>
    <t>6631</t>
  </si>
  <si>
    <t>67</t>
  </si>
  <si>
    <t>PRIHODI IZ NADLEŽNOG PRORAČUNA I OD HZZO TEMELJEM UGOVORNIH OBVEZA</t>
  </si>
  <si>
    <t>671</t>
  </si>
  <si>
    <t>PRIHODI IZ NADLEŽNOG PRORAČUNA ZA FINANCIRANJE REDOVNE DJELATNOSTI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</si>
  <si>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</si>
  <si>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</si>
  <si>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</si>
  <si>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</si>
  <si>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PRIHODI OD PRODAJE NEPROIZV.DUGOTR. NEFINANCIJSKE IMOVINE</t>
  </si>
  <si>
    <t>PRIHODI OD PRODAJE GRAĐEVINSKIH OBJEKATA</t>
  </si>
  <si>
    <t>STAMBEBI OBJEKTI</t>
  </si>
  <si>
    <t>IZVORNI PLAN 2023</t>
  </si>
  <si>
    <t>OPREMA ZA ODRŽAVANJE I ZAŠTITU</t>
  </si>
  <si>
    <t>Manjak prihoda</t>
  </si>
  <si>
    <t>Izvršenje 30.6.2022.**</t>
  </si>
  <si>
    <t>Plan 2023.**</t>
  </si>
  <si>
    <t>Izvršenje FP 30.6.2023.</t>
  </si>
  <si>
    <t>Plan 2023.</t>
  </si>
  <si>
    <t>Izvršenje 2022.</t>
  </si>
  <si>
    <t xml:space="preserve"> IZVJEŠTAJ O IZVRŠENJU FINANCIJSKOG PLANA ZA RAZDOBLJE 1.1.-30.6.2023.GODINE</t>
  </si>
  <si>
    <t>Ivanić-Grad, 17.07.2023.</t>
  </si>
  <si>
    <t xml:space="preserve">IZVRŠENJE RASHODA I IZDATAKA PO EKONONOMSKOJ I PROGRAMSKOJ KLASIFIKACIJI I IZVORIMA FINANCIRANJA </t>
  </si>
  <si>
    <t>Usluge tekućeg i inest.održavanja</t>
  </si>
  <si>
    <t>Energenti</t>
  </si>
  <si>
    <t>Kapitalni projekt  K100145</t>
  </si>
  <si>
    <t>PROJEKTIRANJE I DOGRADNJA ŠKOLE I DVORANE</t>
  </si>
  <si>
    <t>Izvršenje plana 31.12.2023.</t>
  </si>
  <si>
    <t>Tekući projekt T100040</t>
  </si>
  <si>
    <t>Stručno usavršavanje djelatnika u školstvu</t>
  </si>
  <si>
    <t>Tekući projekt T00016</t>
  </si>
  <si>
    <t>KNJIGE ZA ŠKOLSKU KNJIŽNICU</t>
  </si>
  <si>
    <t>Izvršenje plana 31.12.2022.</t>
  </si>
  <si>
    <t>Tekući projekt T100047</t>
  </si>
  <si>
    <t>Prsten potpore IV</t>
  </si>
  <si>
    <t>Tekući projekt T00001</t>
  </si>
  <si>
    <t>Strojevi za ostale namjene-kuhinja</t>
  </si>
  <si>
    <t>Tekući projekt T00002</t>
  </si>
  <si>
    <t>Dodatna ulaganja</t>
  </si>
  <si>
    <t>Dodatna ulaganja na nefinanc. imovini</t>
  </si>
  <si>
    <t>Dodatna ulaganja na grđ.objektima</t>
  </si>
  <si>
    <t>Tekući projekt T00015</t>
  </si>
  <si>
    <t>Nabava pribora za školsku kuhinju</t>
  </si>
  <si>
    <t>Izvršenje 31.12.2022.</t>
  </si>
  <si>
    <t>Izvršenje 31.12.2023.</t>
  </si>
  <si>
    <t>IZVRŠENJE 31.12.2022</t>
  </si>
  <si>
    <t>IZVRŠENJE 31.12.2023.</t>
  </si>
  <si>
    <t>Izvršenje 31.12.2022.**</t>
  </si>
  <si>
    <t>IZVRŠENJE 31.12.2022.</t>
  </si>
  <si>
    <t>KAPITALNE DONACIJE</t>
  </si>
  <si>
    <t>Višak prihoda</t>
  </si>
  <si>
    <t>Izvršenje FP 31.12.2023.</t>
  </si>
  <si>
    <t>Izvršenje 2023.</t>
  </si>
  <si>
    <t>Ivanić-Grad, 29.01.2024.</t>
  </si>
  <si>
    <t>Katarina Bečić Mutvar, mag.oec.</t>
  </si>
  <si>
    <t>Mileo Todić, dipl.teol.</t>
  </si>
  <si>
    <t>Romana Orlić, dipl.uč.</t>
  </si>
  <si>
    <t xml:space="preserve"> IZVJEŠTAJ O IZVRŠENJU FINANCIJSKOG PLANA ZA RAZDOBLJE 1.1.-31.12.2023.GODINE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</si>
</sst>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0"/>
      <color theme="6" tint="-0.249977111117893"/>
      <name val="Arial"/>
      <family val="2"/>
      <charset val="238"/>
    </font>
    <font>
      <i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0DA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C1C1FF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22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>
      <alignment horizontal="left" vertical="center" wrapText="1" readingOrder="1"/>
    </xf>
    <xf numFmtId="4" fontId="18" fillId="5" borderId="3" xfId="0" applyNumberFormat="1" applyFont="1" applyFill="1" applyBorder="1" applyAlignment="1">
      <alignment horizontal="right" vertical="center" wrapText="1" readingOrder="1"/>
    </xf>
    <xf numFmtId="0" fontId="19" fillId="0" borderId="3" xfId="0" applyNumberFormat="1" applyFont="1" applyFill="1" applyBorder="1" applyAlignment="1" applyProtection="1">
      <alignment wrapText="1"/>
    </xf>
    <xf numFmtId="0" fontId="20" fillId="0" borderId="3" xfId="0" applyNumberFormat="1" applyFont="1" applyFill="1" applyBorder="1" applyAlignment="1" applyProtection="1">
      <alignment wrapText="1"/>
    </xf>
    <xf numFmtId="0" fontId="21" fillId="0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9" fillId="8" borderId="0" xfId="0" applyNumberFormat="1" applyFont="1" applyFill="1" applyBorder="1" applyAlignment="1" applyProtection="1"/>
    <xf numFmtId="0" fontId="20" fillId="6" borderId="3" xfId="0" applyFont="1" applyFill="1" applyBorder="1" applyAlignment="1">
      <alignment horizontal="left" vertical="center" wrapText="1" readingOrder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4" fontId="20" fillId="6" borderId="3" xfId="0" applyNumberFormat="1" applyFont="1" applyFill="1" applyBorder="1" applyAlignment="1">
      <alignment horizontal="right" vertical="center" wrapText="1" readingOrder="1"/>
    </xf>
    <xf numFmtId="4" fontId="22" fillId="7" borderId="3" xfId="0" applyNumberFormat="1" applyFont="1" applyFill="1" applyBorder="1" applyAlignment="1" applyProtection="1"/>
    <xf numFmtId="0" fontId="18" fillId="10" borderId="3" xfId="0" applyFont="1" applyFill="1" applyBorder="1" applyAlignment="1">
      <alignment horizontal="left" vertical="center" wrapText="1" readingOrder="1"/>
    </xf>
    <xf numFmtId="0" fontId="18" fillId="9" borderId="3" xfId="0" applyFont="1" applyFill="1" applyBorder="1" applyAlignment="1">
      <alignment horizontal="left" vertical="center" wrapText="1" readingOrder="1"/>
    </xf>
    <xf numFmtId="4" fontId="18" fillId="9" borderId="3" xfId="0" applyNumberFormat="1" applyFont="1" applyFill="1" applyBorder="1" applyAlignment="1">
      <alignment horizontal="right" vertical="center" wrapText="1" readingOrder="1"/>
    </xf>
    <xf numFmtId="4" fontId="18" fillId="10" borderId="3" xfId="0" applyNumberFormat="1" applyFont="1" applyFill="1" applyBorder="1" applyAlignment="1">
      <alignment horizontal="right" vertical="center" wrapText="1" readingOrder="1"/>
    </xf>
    <xf numFmtId="4" fontId="0" fillId="0" borderId="0" xfId="0" applyNumberFormat="1"/>
    <xf numFmtId="0" fontId="3" fillId="4" borderId="4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 indent="1"/>
    </xf>
    <xf numFmtId="49" fontId="3" fillId="2" borderId="2" xfId="0" applyNumberFormat="1" applyFont="1" applyFill="1" applyBorder="1" applyAlignment="1" applyProtection="1">
      <alignment horizontal="left" vertical="center" wrapText="1" indent="1"/>
    </xf>
    <xf numFmtId="49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0" borderId="3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vertical="center" wrapText="1"/>
    </xf>
    <xf numFmtId="49" fontId="3" fillId="2" borderId="4" xfId="0" applyNumberFormat="1" applyFont="1" applyFill="1" applyBorder="1" applyAlignment="1" applyProtection="1">
      <alignment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9" fillId="3" borderId="2" xfId="0" applyNumberFormat="1" applyFont="1" applyFill="1" applyBorder="1" applyAlignment="1" applyProtection="1">
      <alignment vertical="center"/>
    </xf>
    <xf numFmtId="0" fontId="3" fillId="11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27" fillId="0" borderId="4" xfId="0" applyNumberFormat="1" applyFont="1" applyFill="1" applyBorder="1" applyAlignment="1" applyProtection="1">
      <alignment horizontal="left" vertical="center" wrapText="1"/>
    </xf>
    <xf numFmtId="4" fontId="27" fillId="0" borderId="3" xfId="0" applyNumberFormat="1" applyFont="1" applyFill="1" applyBorder="1" applyAlignment="1">
      <alignment horizontal="right"/>
    </xf>
    <xf numFmtId="0" fontId="19" fillId="0" borderId="6" xfId="0" applyNumberFormat="1" applyFont="1" applyFill="1" applyBorder="1" applyAlignment="1" applyProtection="1">
      <alignment wrapText="1"/>
    </xf>
    <xf numFmtId="4" fontId="3" fillId="2" borderId="6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 applyProtection="1">
      <alignment horizontal="right" wrapText="1"/>
    </xf>
    <xf numFmtId="0" fontId="0" fillId="0" borderId="5" xfId="0" applyBorder="1"/>
    <xf numFmtId="0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0" fillId="0" borderId="0" xfId="0" applyNumberFormat="1" applyFill="1"/>
    <xf numFmtId="4" fontId="11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3" fontId="29" fillId="14" borderId="3" xfId="0" applyNumberFormat="1" applyFont="1" applyFill="1" applyBorder="1" applyAlignment="1">
      <alignment horizontal="center"/>
    </xf>
    <xf numFmtId="0" fontId="28" fillId="14" borderId="3" xfId="0" quotePrefix="1" applyFont="1" applyFill="1" applyBorder="1" applyAlignment="1">
      <alignment horizontal="left" vertical="center"/>
    </xf>
    <xf numFmtId="0" fontId="28" fillId="14" borderId="3" xfId="0" applyNumberFormat="1" applyFont="1" applyFill="1" applyBorder="1" applyAlignment="1" applyProtection="1">
      <alignment horizontal="left" vertical="center" wrapText="1"/>
    </xf>
    <xf numFmtId="4" fontId="29" fillId="14" borderId="3" xfId="0" applyNumberFormat="1" applyFont="1" applyFill="1" applyBorder="1" applyAlignment="1">
      <alignment horizontal="right"/>
    </xf>
    <xf numFmtId="0" fontId="30" fillId="0" borderId="3" xfId="0" applyNumberFormat="1" applyFont="1" applyFill="1" applyBorder="1" applyAlignment="1" applyProtection="1">
      <alignment horizontal="left" vertical="center" wrapText="1"/>
    </xf>
    <xf numFmtId="0" fontId="31" fillId="0" borderId="3" xfId="0" applyNumberFormat="1" applyFont="1" applyFill="1" applyBorder="1" applyAlignment="1" applyProtection="1">
      <alignment horizontal="left" vertical="center" wrapText="1"/>
    </xf>
    <xf numFmtId="4" fontId="32" fillId="0" borderId="3" xfId="0" applyNumberFormat="1" applyFont="1" applyFill="1" applyBorder="1" applyAlignment="1">
      <alignment horizontal="right"/>
    </xf>
    <xf numFmtId="4" fontId="0" fillId="14" borderId="0" xfId="0" applyNumberFormat="1" applyFont="1" applyFill="1"/>
    <xf numFmtId="0" fontId="0" fillId="14" borderId="0" xfId="0" applyFill="1"/>
    <xf numFmtId="4" fontId="0" fillId="14" borderId="0" xfId="0" applyNumberFormat="1" applyFill="1"/>
    <xf numFmtId="0" fontId="0" fillId="4" borderId="0" xfId="0" applyFill="1"/>
    <xf numFmtId="4" fontId="0" fillId="4" borderId="0" xfId="0" applyNumberFormat="1" applyFill="1"/>
    <xf numFmtId="0" fontId="28" fillId="4" borderId="3" xfId="0" quotePrefix="1" applyFont="1" applyFill="1" applyBorder="1" applyAlignment="1">
      <alignment horizontal="left" vertical="center"/>
    </xf>
    <xf numFmtId="4" fontId="0" fillId="4" borderId="0" xfId="0" applyNumberFormat="1" applyFont="1" applyFill="1"/>
    <xf numFmtId="4" fontId="29" fillId="4" borderId="3" xfId="0" applyNumberFormat="1" applyFont="1" applyFill="1" applyBorder="1" applyAlignment="1">
      <alignment horizontal="right"/>
    </xf>
    <xf numFmtId="0" fontId="30" fillId="14" borderId="3" xfId="0" applyNumberFormat="1" applyFont="1" applyFill="1" applyBorder="1" applyAlignment="1" applyProtection="1">
      <alignment horizontal="left" vertical="center" wrapText="1"/>
    </xf>
    <xf numFmtId="4" fontId="33" fillId="14" borderId="3" xfId="0" applyNumberFormat="1" applyFont="1" applyFill="1" applyBorder="1" applyAlignment="1">
      <alignment horizontal="right"/>
    </xf>
    <xf numFmtId="0" fontId="1" fillId="13" borderId="0" xfId="0" applyFont="1" applyFill="1" applyAlignment="1">
      <alignment horizontal="center"/>
    </xf>
    <xf numFmtId="0" fontId="17" fillId="13" borderId="0" xfId="0" applyFont="1" applyFill="1" applyAlignment="1">
      <alignment horizontal="center"/>
    </xf>
    <xf numFmtId="0" fontId="17" fillId="13" borderId="0" xfId="0" applyFont="1" applyFill="1" applyAlignment="1">
      <alignment horizontal="center" wrapText="1"/>
    </xf>
    <xf numFmtId="4" fontId="17" fillId="13" borderId="0" xfId="0" applyNumberFormat="1" applyFont="1" applyFill="1" applyAlignment="1">
      <alignment horizontal="center" wrapText="1"/>
    </xf>
    <xf numFmtId="2" fontId="17" fillId="13" borderId="0" xfId="0" applyNumberFormat="1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12" borderId="0" xfId="0" applyFont="1" applyFill="1" applyAlignment="1">
      <alignment horizontal="center"/>
    </xf>
    <xf numFmtId="0" fontId="17" fillId="12" borderId="0" xfId="0" applyFont="1" applyFill="1" applyAlignment="1">
      <alignment horizontal="left"/>
    </xf>
    <xf numFmtId="4" fontId="17" fillId="12" borderId="0" xfId="0" applyNumberFormat="1" applyFont="1" applyFill="1" applyAlignment="1">
      <alignment horizontal="center"/>
    </xf>
    <xf numFmtId="4" fontId="17" fillId="12" borderId="0" xfId="0" applyNumberFormat="1" applyFont="1" applyFill="1" applyAlignment="1">
      <alignment horizontal="right"/>
    </xf>
    <xf numFmtId="2" fontId="17" fillId="12" borderId="0" xfId="0" applyNumberFormat="1" applyFont="1" applyFill="1" applyAlignment="1">
      <alignment horizontal="center"/>
    </xf>
    <xf numFmtId="0" fontId="1" fillId="15" borderId="0" xfId="0" applyFont="1" applyFill="1"/>
    <xf numFmtId="0" fontId="17" fillId="15" borderId="0" xfId="0" applyFont="1" applyFill="1"/>
    <xf numFmtId="4" fontId="17" fillId="15" borderId="0" xfId="0" applyNumberFormat="1" applyFont="1" applyFill="1"/>
    <xf numFmtId="2" fontId="17" fillId="15" borderId="0" xfId="0" applyNumberFormat="1" applyFont="1" applyFill="1"/>
    <xf numFmtId="0" fontId="1" fillId="0" borderId="0" xfId="0" applyFont="1"/>
    <xf numFmtId="0" fontId="1" fillId="16" borderId="0" xfId="0" applyFont="1" applyFill="1"/>
    <xf numFmtId="0" fontId="17" fillId="16" borderId="0" xfId="0" applyFont="1" applyFill="1"/>
    <xf numFmtId="4" fontId="17" fillId="16" borderId="0" xfId="0" applyNumberFormat="1" applyFont="1" applyFill="1"/>
    <xf numFmtId="2" fontId="17" fillId="16" borderId="0" xfId="0" applyNumberFormat="1" applyFont="1" applyFill="1"/>
    <xf numFmtId="0" fontId="1" fillId="14" borderId="0" xfId="0" applyFont="1" applyFill="1"/>
    <xf numFmtId="0" fontId="17" fillId="14" borderId="0" xfId="0" applyFont="1" applyFill="1"/>
    <xf numFmtId="4" fontId="17" fillId="14" borderId="0" xfId="0" applyNumberFormat="1" applyFont="1" applyFill="1"/>
    <xf numFmtId="2" fontId="17" fillId="14" borderId="0" xfId="0" applyNumberFormat="1" applyFont="1" applyFill="1"/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0" fillId="0" borderId="0" xfId="0" applyAlignment="1">
      <alignment horizontal="left"/>
    </xf>
    <xf numFmtId="0" fontId="1" fillId="16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3" fillId="0" borderId="0" xfId="0" applyFont="1" applyAlignment="1">
      <alignment horizontal="right"/>
    </xf>
    <xf numFmtId="2" fontId="17" fillId="16" borderId="0" xfId="0" applyNumberFormat="1" applyFont="1" applyFill="1" applyAlignment="1">
      <alignment horizontal="right"/>
    </xf>
    <xf numFmtId="2" fontId="17" fillId="14" borderId="0" xfId="0" applyNumberFormat="1" applyFont="1" applyFill="1" applyAlignment="1">
      <alignment horizontal="right"/>
    </xf>
    <xf numFmtId="0" fontId="1" fillId="15" borderId="0" xfId="0" applyFont="1" applyFill="1" applyAlignment="1">
      <alignment horizontal="left"/>
    </xf>
    <xf numFmtId="4" fontId="17" fillId="4" borderId="0" xfId="0" applyNumberFormat="1" applyFont="1" applyFill="1" applyAlignment="1">
      <alignment horizontal="center"/>
    </xf>
    <xf numFmtId="4" fontId="1" fillId="0" borderId="0" xfId="0" applyNumberFormat="1" applyFont="1"/>
    <xf numFmtId="2" fontId="17" fillId="12" borderId="0" xfId="0" applyNumberFormat="1" applyFont="1" applyFill="1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4" fontId="34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4" fontId="24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8" fillId="14" borderId="1" xfId="0" quotePrefix="1" applyFont="1" applyFill="1" applyBorder="1" applyAlignment="1">
      <alignment horizontal="center" vertical="center"/>
    </xf>
    <xf numFmtId="0" fontId="28" fillId="14" borderId="4" xfId="0" quotePrefix="1" applyFont="1" applyFill="1" applyBorder="1" applyAlignment="1">
      <alignment horizontal="center" vertical="center"/>
    </xf>
    <xf numFmtId="4" fontId="22" fillId="7" borderId="1" xfId="0" applyNumberFormat="1" applyFont="1" applyFill="1" applyBorder="1" applyAlignment="1" applyProtection="1">
      <alignment horizontal="left"/>
    </xf>
    <xf numFmtId="4" fontId="22" fillId="7" borderId="2" xfId="0" applyNumberFormat="1" applyFont="1" applyFill="1" applyBorder="1" applyAlignment="1" applyProtection="1">
      <alignment horizontal="left"/>
    </xf>
    <xf numFmtId="4" fontId="22" fillId="7" borderId="4" xfId="0" applyNumberFormat="1" applyFont="1" applyFill="1" applyBorder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49" fontId="3" fillId="2" borderId="1" xfId="0" applyNumberFormat="1" applyFont="1" applyFill="1" applyBorder="1" applyAlignment="1" applyProtection="1">
      <alignment horizontal="left" vertical="center" wrapText="1" indent="1"/>
    </xf>
    <xf numFmtId="49" fontId="3" fillId="2" borderId="2" xfId="0" applyNumberFormat="1" applyFont="1" applyFill="1" applyBorder="1" applyAlignment="1" applyProtection="1">
      <alignment horizontal="left" vertical="center" wrapText="1" indent="1"/>
    </xf>
    <xf numFmtId="49" fontId="3" fillId="2" borderId="4" xfId="0" applyNumberFormat="1" applyFont="1" applyFill="1" applyBorder="1" applyAlignment="1" applyProtection="1">
      <alignment horizontal="left" vertical="center" wrapText="1" indent="1"/>
    </xf>
    <xf numFmtId="49" fontId="27" fillId="0" borderId="1" xfId="0" applyNumberFormat="1" applyFont="1" applyFill="1" applyBorder="1" applyAlignment="1" applyProtection="1">
      <alignment horizontal="left" vertical="center" wrapText="1" indent="1"/>
    </xf>
    <xf numFmtId="49" fontId="27" fillId="0" borderId="2" xfId="0" applyNumberFormat="1" applyFont="1" applyFill="1" applyBorder="1" applyAlignment="1" applyProtection="1">
      <alignment horizontal="left" vertical="center" wrapText="1" indent="1"/>
    </xf>
    <xf numFmtId="49" fontId="27" fillId="0" borderId="4" xfId="0" applyNumberFormat="1" applyFont="1" applyFill="1" applyBorder="1" applyAlignment="1" applyProtection="1">
      <alignment horizontal="left" vertical="center" wrapText="1" indent="1"/>
    </xf>
    <xf numFmtId="0" fontId="20" fillId="6" borderId="1" xfId="0" applyFont="1" applyFill="1" applyBorder="1" applyAlignment="1">
      <alignment horizontal="left" vertical="center" wrapText="1" readingOrder="1"/>
    </xf>
    <xf numFmtId="0" fontId="20" fillId="6" borderId="2" xfId="0" applyFont="1" applyFill="1" applyBorder="1" applyAlignment="1">
      <alignment horizontal="left" vertical="center" wrapText="1" readingOrder="1"/>
    </xf>
    <xf numFmtId="0" fontId="20" fillId="6" borderId="4" xfId="0" applyFont="1" applyFill="1" applyBorder="1" applyAlignment="1">
      <alignment horizontal="left" vertical="center" wrapText="1" readingOrder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2" xfId="0" applyNumberFormat="1" applyFont="1" applyFill="1" applyBorder="1" applyAlignment="1" applyProtection="1">
      <alignment horizontal="left" vertical="center" wrapText="1" indent="1"/>
    </xf>
    <xf numFmtId="49" fontId="3" fillId="0" borderId="4" xfId="0" applyNumberFormat="1" applyFont="1" applyFill="1" applyBorder="1" applyAlignment="1" applyProtection="1">
      <alignment horizontal="left" vertical="center" wrapText="1" indent="1"/>
    </xf>
    <xf numFmtId="49" fontId="3" fillId="2" borderId="7" xfId="0" applyNumberFormat="1" applyFont="1" applyFill="1" applyBorder="1" applyAlignment="1" applyProtection="1">
      <alignment horizontal="left" vertical="center" wrapText="1" indent="1"/>
    </xf>
    <xf numFmtId="49" fontId="3" fillId="2" borderId="5" xfId="0" applyNumberFormat="1" applyFont="1" applyFill="1" applyBorder="1" applyAlignment="1" applyProtection="1">
      <alignment horizontal="left" vertical="center" wrapText="1" indent="1"/>
    </xf>
    <xf numFmtId="49" fontId="3" fillId="2" borderId="8" xfId="0" applyNumberFormat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 readingOrder="1"/>
    </xf>
    <xf numFmtId="0" fontId="18" fillId="5" borderId="4" xfId="0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10" borderId="1" xfId="0" applyFont="1" applyFill="1" applyBorder="1" applyAlignment="1">
      <alignment horizontal="center" vertical="center" wrapText="1" readingOrder="1"/>
    </xf>
    <xf numFmtId="0" fontId="18" fillId="10" borderId="2" xfId="0" applyFont="1" applyFill="1" applyBorder="1" applyAlignment="1">
      <alignment horizontal="center" vertical="center" wrapText="1" readingOrder="1"/>
    </xf>
    <xf numFmtId="0" fontId="18" fillId="10" borderId="4" xfId="0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 readingOrder="1"/>
    </xf>
    <xf numFmtId="0" fontId="18" fillId="9" borderId="2" xfId="0" applyFont="1" applyFill="1" applyBorder="1" applyAlignment="1">
      <alignment horizontal="center" vertical="center" wrapText="1" readingOrder="1"/>
    </xf>
    <xf numFmtId="0" fontId="18" fillId="9" borderId="4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G27" sqref="G27"/>
    </sheetView>
  </sheetViews>
  <sheetFormatPr defaultRowHeight="15" x14ac:dyDescent="0.25"/>
  <cols>
    <col min="5" max="5" width="25.28515625" customWidth="1"/>
    <col min="6" max="6" width="29.140625" customWidth="1"/>
    <col min="7" max="7" width="30" customWidth="1"/>
    <col min="8" max="8" width="30.28515625" customWidth="1"/>
  </cols>
  <sheetData>
    <row r="1" spans="1:9" ht="42" customHeight="1" x14ac:dyDescent="0.25">
      <c r="A1" s="158" t="s">
        <v>372</v>
      </c>
      <c r="B1" s="158"/>
      <c r="C1" s="158"/>
      <c r="D1" s="158"/>
      <c r="E1" s="158"/>
      <c r="F1" s="158"/>
      <c r="G1" s="158"/>
      <c r="H1" s="158"/>
      <c r="I1">
        <v>7.5345000000000004</v>
      </c>
    </row>
    <row r="2" spans="1:9" ht="18" customHeight="1" x14ac:dyDescent="0.25">
      <c r="A2" s="18"/>
      <c r="B2" s="18"/>
      <c r="C2" s="18"/>
      <c r="D2" s="18"/>
      <c r="E2" s="18"/>
      <c r="F2" s="18"/>
      <c r="G2" s="18"/>
      <c r="H2" s="18"/>
    </row>
    <row r="3" spans="1:9" ht="15.75" x14ac:dyDescent="0.25">
      <c r="A3" s="158" t="s">
        <v>22</v>
      </c>
      <c r="B3" s="158"/>
      <c r="C3" s="158"/>
      <c r="D3" s="158"/>
      <c r="E3" s="158"/>
      <c r="F3" s="158"/>
      <c r="G3" s="158"/>
      <c r="H3" s="158"/>
    </row>
    <row r="4" spans="1:9" ht="18" x14ac:dyDescent="0.25">
      <c r="A4" s="18"/>
      <c r="B4" s="18"/>
      <c r="C4" s="18"/>
      <c r="D4" s="18"/>
      <c r="E4" s="18"/>
      <c r="F4" s="18"/>
      <c r="G4" s="18"/>
      <c r="H4" s="18"/>
    </row>
    <row r="5" spans="1:9" ht="18" customHeight="1" x14ac:dyDescent="0.25">
      <c r="A5" s="158" t="s">
        <v>27</v>
      </c>
      <c r="B5" s="159"/>
      <c r="C5" s="159"/>
      <c r="D5" s="159"/>
      <c r="E5" s="159"/>
      <c r="F5" s="159"/>
      <c r="G5" s="159"/>
      <c r="H5" s="159"/>
    </row>
    <row r="6" spans="1:9" ht="18" x14ac:dyDescent="0.25">
      <c r="A6" s="1"/>
      <c r="B6" s="2"/>
      <c r="C6" s="2"/>
      <c r="D6" s="2"/>
      <c r="E6" s="7"/>
      <c r="F6" s="8"/>
      <c r="G6" s="8"/>
      <c r="H6" s="8"/>
    </row>
    <row r="7" spans="1:9" x14ac:dyDescent="0.25">
      <c r="A7" s="19"/>
      <c r="B7" s="20"/>
      <c r="C7" s="20"/>
      <c r="D7" s="21"/>
      <c r="E7" s="22"/>
      <c r="F7" s="4" t="s">
        <v>367</v>
      </c>
      <c r="G7" s="4" t="s">
        <v>368</v>
      </c>
      <c r="H7" s="4" t="s">
        <v>369</v>
      </c>
    </row>
    <row r="8" spans="1:9" x14ac:dyDescent="0.25">
      <c r="A8" s="160" t="s">
        <v>0</v>
      </c>
      <c r="B8" s="161"/>
      <c r="C8" s="161"/>
      <c r="D8" s="161"/>
      <c r="E8" s="162"/>
      <c r="F8" s="52">
        <f t="shared" ref="F8" si="0">SUM(F9:F10)</f>
        <v>10620420.99</v>
      </c>
      <c r="G8" s="52" t="e">
        <f>SUM(G9:G10)</f>
        <v>#REF!</v>
      </c>
      <c r="H8" s="52" t="e">
        <f>SUM(H9:H10)</f>
        <v>#REF!</v>
      </c>
    </row>
    <row r="9" spans="1:9" x14ac:dyDescent="0.25">
      <c r="A9" s="156" t="s">
        <v>1</v>
      </c>
      <c r="B9" s="157"/>
      <c r="C9" s="157"/>
      <c r="D9" s="157"/>
      <c r="E9" s="163"/>
      <c r="F9" s="53">
        <f>'SAŽETAK EUR'!F9*'SAŽETAK kn'!I1</f>
        <v>10620420.99</v>
      </c>
      <c r="G9" s="53">
        <f>'SAŽETAK EUR'!G9*'SAŽETAK kn'!I1</f>
        <v>11082038.4</v>
      </c>
      <c r="H9" s="53">
        <f>'SAŽETAK EUR'!H9*'SAŽETAK kn'!I1</f>
        <v>11180344.720000001</v>
      </c>
    </row>
    <row r="10" spans="1:9" x14ac:dyDescent="0.25">
      <c r="A10" s="164" t="s">
        <v>2</v>
      </c>
      <c r="B10" s="163"/>
      <c r="C10" s="163"/>
      <c r="D10" s="163"/>
      <c r="E10" s="163"/>
      <c r="F10" s="53">
        <f>'SAŽETAK EUR'!F10*'SAŽETAK kn'!I2</f>
        <v>0</v>
      </c>
      <c r="G10" s="53" t="e">
        <f>'SAŽETAK EUR'!G10*'SAŽETAK kn'!I1</f>
        <v>#REF!</v>
      </c>
      <c r="H10" s="53" t="e">
        <f>'SAŽETAK EUR'!H10*'SAŽETAK kn'!I1</f>
        <v>#REF!</v>
      </c>
    </row>
    <row r="11" spans="1:9" x14ac:dyDescent="0.25">
      <c r="A11" s="27" t="s">
        <v>3</v>
      </c>
      <c r="B11" s="74"/>
      <c r="C11" s="74"/>
      <c r="D11" s="74"/>
      <c r="E11" s="74"/>
      <c r="F11" s="52">
        <f>F12+F13</f>
        <v>10644841.58</v>
      </c>
      <c r="G11" s="52">
        <f t="shared" ref="G11:H11" si="1">G12+G13</f>
        <v>11082038.4</v>
      </c>
      <c r="H11" s="52">
        <f t="shared" si="1"/>
        <v>11181380.93</v>
      </c>
    </row>
    <row r="12" spans="1:9" x14ac:dyDescent="0.25">
      <c r="A12" s="165" t="s">
        <v>4</v>
      </c>
      <c r="B12" s="157"/>
      <c r="C12" s="157"/>
      <c r="D12" s="157"/>
      <c r="E12" s="157"/>
      <c r="F12" s="53">
        <f>'SAŽETAK EUR'!F12*'SAŽETAK kn'!I1</f>
        <v>9962785.0399999991</v>
      </c>
      <c r="G12" s="53">
        <f>'SAŽETAK EUR'!G12*'SAŽETAK kn'!I1</f>
        <v>10344814.25</v>
      </c>
      <c r="H12" s="53">
        <f>'SAŽETAK EUR'!H12*'SAŽETAK kn'!I1</f>
        <v>11156817.710000001</v>
      </c>
    </row>
    <row r="13" spans="1:9" x14ac:dyDescent="0.25">
      <c r="A13" s="166" t="s">
        <v>5</v>
      </c>
      <c r="B13" s="163"/>
      <c r="C13" s="163"/>
      <c r="D13" s="163"/>
      <c r="E13" s="163"/>
      <c r="F13" s="54">
        <f>'SAŽETAK EUR'!F13*'SAŽETAK kn'!I1</f>
        <v>682056.54</v>
      </c>
      <c r="G13" s="54">
        <f>'SAŽETAK EUR'!G13*'SAŽETAK kn'!I1</f>
        <v>737224.15</v>
      </c>
      <c r="H13" s="54">
        <f>'SAŽETAK EUR'!H13*'SAŽETAK kn'!I1</f>
        <v>24563.22</v>
      </c>
    </row>
    <row r="14" spans="1:9" x14ac:dyDescent="0.25">
      <c r="A14" s="167" t="s">
        <v>6</v>
      </c>
      <c r="B14" s="161"/>
      <c r="C14" s="161"/>
      <c r="D14" s="161"/>
      <c r="E14" s="161"/>
      <c r="F14" s="55">
        <f>F8-F11</f>
        <v>-24420.59</v>
      </c>
      <c r="G14" s="55" t="e">
        <f>G8-G11</f>
        <v>#REF!</v>
      </c>
      <c r="H14" s="55" t="e">
        <f>H8-H11</f>
        <v>#REF!</v>
      </c>
    </row>
    <row r="15" spans="1:9" ht="18" x14ac:dyDescent="0.25">
      <c r="A15" s="18"/>
      <c r="B15" s="16"/>
      <c r="C15" s="16"/>
      <c r="D15" s="16"/>
      <c r="E15" s="16"/>
      <c r="F15" s="16"/>
      <c r="G15" s="16"/>
      <c r="H15" s="17"/>
    </row>
    <row r="16" spans="1:9" ht="18" customHeight="1" x14ac:dyDescent="0.25">
      <c r="A16" s="158" t="s">
        <v>28</v>
      </c>
      <c r="B16" s="159"/>
      <c r="C16" s="159"/>
      <c r="D16" s="159"/>
      <c r="E16" s="159"/>
      <c r="F16" s="159"/>
      <c r="G16" s="159"/>
      <c r="H16" s="159"/>
    </row>
    <row r="17" spans="1:8" ht="18" x14ac:dyDescent="0.25">
      <c r="A17" s="18"/>
      <c r="B17" s="16"/>
      <c r="C17" s="16"/>
      <c r="D17" s="16"/>
      <c r="E17" s="16"/>
      <c r="F17" s="16"/>
      <c r="G17" s="16"/>
      <c r="H17" s="17"/>
    </row>
    <row r="18" spans="1:8" x14ac:dyDescent="0.25">
      <c r="A18" s="19"/>
      <c r="B18" s="20"/>
      <c r="C18" s="20"/>
      <c r="D18" s="21"/>
      <c r="E18" s="22"/>
      <c r="F18" s="4" t="s">
        <v>12</v>
      </c>
      <c r="G18" s="4" t="s">
        <v>13</v>
      </c>
      <c r="H18" s="4" t="s">
        <v>32</v>
      </c>
    </row>
    <row r="19" spans="1:8" ht="15.75" customHeight="1" x14ac:dyDescent="0.25">
      <c r="A19" s="156" t="s">
        <v>8</v>
      </c>
      <c r="B19" s="168"/>
      <c r="C19" s="168"/>
      <c r="D19" s="168"/>
      <c r="E19" s="169"/>
      <c r="F19" s="24" t="e">
        <f>#REF!</f>
        <v>#REF!</v>
      </c>
      <c r="G19" s="24" t="e">
        <f>#REF!</f>
        <v>#REF!</v>
      </c>
      <c r="H19" s="24" t="e">
        <f>#REF!</f>
        <v>#REF!</v>
      </c>
    </row>
    <row r="20" spans="1:8" x14ac:dyDescent="0.25">
      <c r="A20" s="156" t="s">
        <v>9</v>
      </c>
      <c r="B20" s="157"/>
      <c r="C20" s="157"/>
      <c r="D20" s="157"/>
      <c r="E20" s="157"/>
      <c r="F20" s="24" t="e">
        <f>#REF!</f>
        <v>#REF!</v>
      </c>
      <c r="G20" s="24" t="e">
        <f>#REF!</f>
        <v>#REF!</v>
      </c>
      <c r="H20" s="24" t="e">
        <f>#REF!</f>
        <v>#REF!</v>
      </c>
    </row>
    <row r="21" spans="1:8" x14ac:dyDescent="0.25">
      <c r="A21" s="167" t="s">
        <v>10</v>
      </c>
      <c r="B21" s="161"/>
      <c r="C21" s="161"/>
      <c r="D21" s="161"/>
      <c r="E21" s="161"/>
      <c r="F21" s="23">
        <v>0</v>
      </c>
      <c r="G21" s="23">
        <v>0</v>
      </c>
      <c r="H21" s="23">
        <v>0</v>
      </c>
    </row>
    <row r="22" spans="1:8" ht="18" x14ac:dyDescent="0.25">
      <c r="A22" s="15"/>
      <c r="B22" s="16"/>
      <c r="C22" s="16"/>
      <c r="D22" s="16"/>
      <c r="E22" s="16"/>
      <c r="F22" s="16"/>
      <c r="G22" s="16"/>
      <c r="H22" s="17"/>
    </row>
    <row r="23" spans="1:8" ht="18" customHeight="1" x14ac:dyDescent="0.25">
      <c r="A23" s="158" t="s">
        <v>34</v>
      </c>
      <c r="B23" s="159"/>
      <c r="C23" s="159"/>
      <c r="D23" s="159"/>
      <c r="E23" s="159"/>
      <c r="F23" s="159"/>
      <c r="G23" s="159"/>
      <c r="H23" s="159"/>
    </row>
    <row r="24" spans="1:8" ht="18" x14ac:dyDescent="0.25">
      <c r="A24" s="15"/>
      <c r="B24" s="16"/>
      <c r="C24" s="16"/>
      <c r="D24" s="16"/>
      <c r="E24" s="16"/>
      <c r="F24" s="16"/>
      <c r="G24" s="16"/>
      <c r="H24" s="17"/>
    </row>
    <row r="25" spans="1:8" x14ac:dyDescent="0.25">
      <c r="A25" s="19"/>
      <c r="B25" s="20"/>
      <c r="C25" s="20"/>
      <c r="D25" s="21"/>
      <c r="E25" s="22"/>
      <c r="F25" s="4" t="s">
        <v>367</v>
      </c>
      <c r="G25" s="4" t="s">
        <v>368</v>
      </c>
      <c r="H25" s="4" t="s">
        <v>369</v>
      </c>
    </row>
    <row r="26" spans="1:8" x14ac:dyDescent="0.25">
      <c r="A26" s="172" t="s">
        <v>29</v>
      </c>
      <c r="B26" s="173"/>
      <c r="C26" s="173"/>
      <c r="D26" s="173"/>
      <c r="E26" s="174"/>
      <c r="F26" s="25"/>
      <c r="G26" s="56">
        <v>67529.009999999995</v>
      </c>
      <c r="H26" s="56"/>
    </row>
    <row r="27" spans="1:8" ht="30" customHeight="1" x14ac:dyDescent="0.25">
      <c r="A27" s="175" t="s">
        <v>7</v>
      </c>
      <c r="B27" s="176"/>
      <c r="C27" s="176"/>
      <c r="D27" s="176"/>
      <c r="E27" s="177"/>
      <c r="F27" s="26"/>
      <c r="G27" s="57">
        <v>67529.009999999995</v>
      </c>
      <c r="H27" s="57">
        <v>21865.200000000001</v>
      </c>
    </row>
    <row r="30" spans="1:8" x14ac:dyDescent="0.25">
      <c r="A30" s="165" t="s">
        <v>11</v>
      </c>
      <c r="B30" s="157"/>
      <c r="C30" s="157"/>
      <c r="D30" s="157"/>
      <c r="E30" s="157"/>
      <c r="F30" s="24">
        <v>0</v>
      </c>
      <c r="G30" s="24">
        <v>0</v>
      </c>
      <c r="H30" s="24">
        <v>0</v>
      </c>
    </row>
    <row r="31" spans="1:8" ht="11.25" customHeight="1" x14ac:dyDescent="0.25">
      <c r="A31" s="10"/>
      <c r="B31" s="11"/>
      <c r="C31" s="11"/>
      <c r="D31" s="11"/>
      <c r="E31" s="11"/>
      <c r="F31" s="12"/>
      <c r="G31" s="12"/>
      <c r="H31" s="12"/>
    </row>
    <row r="32" spans="1:8" ht="29.25" customHeight="1" x14ac:dyDescent="0.25">
      <c r="A32" s="170" t="s">
        <v>35</v>
      </c>
      <c r="B32" s="171"/>
      <c r="C32" s="171"/>
      <c r="D32" s="171"/>
      <c r="E32" s="171"/>
      <c r="F32" s="171"/>
      <c r="G32" s="171"/>
      <c r="H32" s="171"/>
    </row>
    <row r="33" spans="1:8" ht="8.25" customHeight="1" x14ac:dyDescent="0.25"/>
    <row r="34" spans="1:8" x14ac:dyDescent="0.25">
      <c r="A34" s="170" t="s">
        <v>30</v>
      </c>
      <c r="B34" s="171"/>
      <c r="C34" s="171"/>
      <c r="D34" s="171"/>
      <c r="E34" s="171"/>
      <c r="F34" s="171"/>
      <c r="G34" s="171"/>
      <c r="H34" s="171"/>
    </row>
    <row r="35" spans="1:8" ht="8.25" customHeight="1" x14ac:dyDescent="0.25"/>
    <row r="36" spans="1:8" ht="29.25" customHeight="1" x14ac:dyDescent="0.25">
      <c r="A36" s="170" t="s">
        <v>31</v>
      </c>
      <c r="B36" s="171"/>
      <c r="C36" s="171"/>
      <c r="D36" s="171"/>
      <c r="E36" s="171"/>
      <c r="F36" s="171"/>
      <c r="G36" s="171"/>
      <c r="H36" s="171"/>
    </row>
    <row r="38" spans="1:8" x14ac:dyDescent="0.25">
      <c r="A38" t="s">
        <v>236</v>
      </c>
      <c r="E38" t="s">
        <v>237</v>
      </c>
      <c r="H38" t="s">
        <v>238</v>
      </c>
    </row>
    <row r="39" spans="1:8" x14ac:dyDescent="0.25">
      <c r="A39" t="s">
        <v>239</v>
      </c>
      <c r="E39" t="s">
        <v>240</v>
      </c>
      <c r="H39" t="s">
        <v>241</v>
      </c>
    </row>
    <row r="40" spans="1:8" x14ac:dyDescent="0.25">
      <c r="A40" t="s">
        <v>373</v>
      </c>
    </row>
  </sheetData>
  <mergeCells count="20">
    <mergeCell ref="A34:H34"/>
    <mergeCell ref="A36:H36"/>
    <mergeCell ref="A21:E21"/>
    <mergeCell ref="A23:H23"/>
    <mergeCell ref="A26:E26"/>
    <mergeCell ref="A27:E27"/>
    <mergeCell ref="A30:E30"/>
    <mergeCell ref="A32:H32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9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zoomScaleNormal="100" zoomScaleSheetLayoutView="100" workbookViewId="0">
      <selection activeCell="H21" sqref="H21"/>
    </sheetView>
  </sheetViews>
  <sheetFormatPr defaultRowHeight="15" x14ac:dyDescent="0.25"/>
  <cols>
    <col min="5" max="7" width="25.28515625" customWidth="1"/>
    <col min="8" max="8" width="27.42578125" customWidth="1"/>
  </cols>
  <sheetData>
    <row r="1" spans="1:8" ht="42" customHeight="1" x14ac:dyDescent="0.25">
      <c r="A1" s="158" t="s">
        <v>409</v>
      </c>
      <c r="B1" s="158"/>
      <c r="C1" s="158"/>
      <c r="D1" s="158"/>
      <c r="E1" s="158"/>
      <c r="F1" s="158"/>
      <c r="G1" s="158"/>
      <c r="H1" s="158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58" t="s">
        <v>22</v>
      </c>
      <c r="B3" s="158"/>
      <c r="C3" s="158"/>
      <c r="D3" s="158"/>
      <c r="E3" s="158"/>
      <c r="F3" s="158"/>
      <c r="G3" s="158"/>
      <c r="H3" s="158"/>
    </row>
    <row r="4" spans="1:8" ht="18" x14ac:dyDescent="0.25">
      <c r="A4" s="5"/>
      <c r="B4" s="5"/>
      <c r="C4" s="5"/>
      <c r="D4" s="5"/>
      <c r="E4" s="5"/>
      <c r="F4" s="5"/>
      <c r="G4" s="5"/>
      <c r="H4" s="5"/>
    </row>
    <row r="5" spans="1:8" ht="18" customHeight="1" x14ac:dyDescent="0.25">
      <c r="A5" s="158" t="s">
        <v>27</v>
      </c>
      <c r="B5" s="159"/>
      <c r="C5" s="159"/>
      <c r="D5" s="159"/>
      <c r="E5" s="159"/>
      <c r="F5" s="159"/>
      <c r="G5" s="159"/>
      <c r="H5" s="159"/>
    </row>
    <row r="6" spans="1:8" ht="18" x14ac:dyDescent="0.25">
      <c r="A6" s="1"/>
      <c r="B6" s="2"/>
      <c r="C6" s="2"/>
      <c r="D6" s="2"/>
      <c r="E6" s="7"/>
      <c r="F6" s="8"/>
      <c r="G6" s="8"/>
      <c r="H6" s="8"/>
    </row>
    <row r="7" spans="1:8" x14ac:dyDescent="0.25">
      <c r="A7" s="19"/>
      <c r="B7" s="20"/>
      <c r="C7" s="20"/>
      <c r="D7" s="21"/>
      <c r="E7" s="22"/>
      <c r="F7" s="4" t="s">
        <v>399</v>
      </c>
      <c r="G7" s="4" t="s">
        <v>368</v>
      </c>
      <c r="H7" s="4" t="s">
        <v>403</v>
      </c>
    </row>
    <row r="8" spans="1:8" x14ac:dyDescent="0.25">
      <c r="A8" s="160" t="s">
        <v>0</v>
      </c>
      <c r="B8" s="161"/>
      <c r="C8" s="161"/>
      <c r="D8" s="161"/>
      <c r="E8" s="162"/>
      <c r="F8" s="52">
        <f t="shared" ref="F8:G8" si="0">SUM(F9:F10)</f>
        <v>1409572.1</v>
      </c>
      <c r="G8" s="52" t="e">
        <f t="shared" si="0"/>
        <v>#REF!</v>
      </c>
      <c r="H8" s="52" t="e">
        <f>SUM(H9:H10)</f>
        <v>#REF!</v>
      </c>
    </row>
    <row r="9" spans="1:8" x14ac:dyDescent="0.25">
      <c r="A9" s="156" t="s">
        <v>1</v>
      </c>
      <c r="B9" s="157"/>
      <c r="C9" s="157"/>
      <c r="D9" s="157"/>
      <c r="E9" s="163"/>
      <c r="F9" s="53">
        <f>'Prihodi-ekonom.klasif.'!C6</f>
        <v>1409572.1</v>
      </c>
      <c r="G9" s="53">
        <f>'Prihodi-ekonom.klasif.'!D6</f>
        <v>1470839.26</v>
      </c>
      <c r="H9" s="53">
        <f>'Prihodi-ekonom.klasif.'!E6</f>
        <v>1483886.75</v>
      </c>
    </row>
    <row r="10" spans="1:8" x14ac:dyDescent="0.25">
      <c r="A10" s="164" t="s">
        <v>2</v>
      </c>
      <c r="B10" s="163"/>
      <c r="C10" s="163"/>
      <c r="D10" s="163"/>
      <c r="E10" s="163"/>
      <c r="F10" s="53">
        <f>'Prihodi-ekonom.klasif.'!C28</f>
        <v>0</v>
      </c>
      <c r="G10" s="53" t="e">
        <f>#REF!</f>
        <v>#REF!</v>
      </c>
      <c r="H10" s="53" t="e">
        <f>#REF!</f>
        <v>#REF!</v>
      </c>
    </row>
    <row r="11" spans="1:8" x14ac:dyDescent="0.25">
      <c r="A11" s="27" t="s">
        <v>3</v>
      </c>
      <c r="B11" s="28"/>
      <c r="C11" s="28"/>
      <c r="D11" s="28"/>
      <c r="E11" s="28"/>
      <c r="F11" s="52">
        <f t="shared" ref="F11:G11" si="1">SUM(F12:F13)</f>
        <v>1412813.27</v>
      </c>
      <c r="G11" s="52">
        <f>SUM(G12:G13)</f>
        <v>1470839.26</v>
      </c>
      <c r="H11" s="52">
        <f>SUM(H12:H13)</f>
        <v>1484024.28</v>
      </c>
    </row>
    <row r="12" spans="1:8" x14ac:dyDescent="0.25">
      <c r="A12" s="165" t="s">
        <v>4</v>
      </c>
      <c r="B12" s="157"/>
      <c r="C12" s="157"/>
      <c r="D12" s="157"/>
      <c r="E12" s="157"/>
      <c r="F12" s="53">
        <f>'Rashodi-ekonm.klasif.'!C6</f>
        <v>1322288.81</v>
      </c>
      <c r="G12" s="53">
        <v>1372992.8</v>
      </c>
      <c r="H12" s="53">
        <f>'Rashodi-ekonm.klasif.'!E6</f>
        <v>1480764.18</v>
      </c>
    </row>
    <row r="13" spans="1:8" x14ac:dyDescent="0.25">
      <c r="A13" s="166" t="s">
        <v>5</v>
      </c>
      <c r="B13" s="163"/>
      <c r="C13" s="163"/>
      <c r="D13" s="163"/>
      <c r="E13" s="163"/>
      <c r="F13" s="54">
        <f>'Rashodi-ekonm.klasif.'!C57</f>
        <v>90524.46</v>
      </c>
      <c r="G13" s="54">
        <v>97846.46</v>
      </c>
      <c r="H13" s="54">
        <f>'Rashodi-ekonm.klasif.'!E57</f>
        <v>3260.1</v>
      </c>
    </row>
    <row r="14" spans="1:8" x14ac:dyDescent="0.25">
      <c r="A14" s="167" t="s">
        <v>6</v>
      </c>
      <c r="B14" s="161"/>
      <c r="C14" s="161"/>
      <c r="D14" s="161"/>
      <c r="E14" s="161"/>
      <c r="F14" s="55">
        <f>F8-F11</f>
        <v>-3241.17</v>
      </c>
      <c r="G14" s="55" t="e">
        <f t="shared" ref="G14" si="2">G8-G11</f>
        <v>#REF!</v>
      </c>
      <c r="H14" s="55" t="e">
        <f>H8-H11</f>
        <v>#REF!</v>
      </c>
    </row>
    <row r="15" spans="1:8" ht="18" x14ac:dyDescent="0.25">
      <c r="A15" s="5"/>
      <c r="B15" s="9"/>
      <c r="C15" s="9"/>
      <c r="D15" s="9"/>
      <c r="E15" s="9"/>
      <c r="F15" s="9"/>
      <c r="G15" s="9"/>
      <c r="H15" s="3"/>
    </row>
    <row r="16" spans="1:8" ht="18" customHeight="1" x14ac:dyDescent="0.25">
      <c r="A16" s="158" t="s">
        <v>28</v>
      </c>
      <c r="B16" s="159"/>
      <c r="C16" s="159"/>
      <c r="D16" s="159"/>
      <c r="E16" s="159"/>
      <c r="F16" s="159"/>
      <c r="G16" s="159"/>
      <c r="H16" s="159"/>
    </row>
    <row r="17" spans="1:8" ht="18" x14ac:dyDescent="0.25">
      <c r="A17" s="18"/>
      <c r="B17" s="16"/>
      <c r="C17" s="16"/>
      <c r="D17" s="16"/>
      <c r="E17" s="16"/>
      <c r="F17" s="16"/>
      <c r="G17" s="16"/>
      <c r="H17" s="17"/>
    </row>
    <row r="18" spans="1:8" x14ac:dyDescent="0.25">
      <c r="A18" s="19"/>
      <c r="B18" s="20"/>
      <c r="C18" s="20"/>
      <c r="D18" s="21"/>
      <c r="E18" s="22"/>
      <c r="F18" s="4" t="s">
        <v>371</v>
      </c>
      <c r="G18" s="4" t="s">
        <v>370</v>
      </c>
      <c r="H18" s="4" t="s">
        <v>404</v>
      </c>
    </row>
    <row r="19" spans="1:8" ht="15.75" customHeight="1" x14ac:dyDescent="0.25">
      <c r="A19" s="156" t="s">
        <v>8</v>
      </c>
      <c r="B19" s="168"/>
      <c r="C19" s="168"/>
      <c r="D19" s="168"/>
      <c r="E19" s="169"/>
      <c r="F19" s="24">
        <v>0</v>
      </c>
      <c r="G19" s="24">
        <v>0</v>
      </c>
      <c r="H19" s="24">
        <v>0</v>
      </c>
    </row>
    <row r="20" spans="1:8" x14ac:dyDescent="0.25">
      <c r="A20" s="156" t="s">
        <v>9</v>
      </c>
      <c r="B20" s="157"/>
      <c r="C20" s="157"/>
      <c r="D20" s="157"/>
      <c r="E20" s="157"/>
      <c r="F20" s="24">
        <v>0</v>
      </c>
      <c r="G20" s="24">
        <v>0</v>
      </c>
      <c r="H20" s="24">
        <v>0</v>
      </c>
    </row>
    <row r="21" spans="1:8" x14ac:dyDescent="0.25">
      <c r="A21" s="167" t="s">
        <v>10</v>
      </c>
      <c r="B21" s="161"/>
      <c r="C21" s="161"/>
      <c r="D21" s="161"/>
      <c r="E21" s="161"/>
      <c r="F21" s="23">
        <v>0</v>
      </c>
      <c r="G21" s="23">
        <v>0</v>
      </c>
      <c r="H21" s="23">
        <v>0</v>
      </c>
    </row>
    <row r="22" spans="1:8" ht="18" x14ac:dyDescent="0.25">
      <c r="A22" s="15"/>
      <c r="B22" s="16"/>
      <c r="C22" s="16"/>
      <c r="D22" s="16"/>
      <c r="E22" s="16"/>
      <c r="F22" s="16"/>
      <c r="G22" s="16"/>
      <c r="H22" s="17"/>
    </row>
    <row r="23" spans="1:8" ht="18" customHeight="1" x14ac:dyDescent="0.25">
      <c r="A23" s="158" t="s">
        <v>34</v>
      </c>
      <c r="B23" s="159"/>
      <c r="C23" s="159"/>
      <c r="D23" s="159"/>
      <c r="E23" s="159"/>
      <c r="F23" s="159"/>
      <c r="G23" s="159"/>
      <c r="H23" s="159"/>
    </row>
    <row r="24" spans="1:8" ht="18" x14ac:dyDescent="0.25">
      <c r="A24" s="15"/>
      <c r="B24" s="16"/>
      <c r="C24" s="16"/>
      <c r="D24" s="16"/>
      <c r="E24" s="16"/>
      <c r="F24" s="16"/>
      <c r="G24" s="16"/>
      <c r="H24" s="17"/>
    </row>
    <row r="25" spans="1:8" x14ac:dyDescent="0.25">
      <c r="A25" s="19"/>
      <c r="B25" s="20"/>
      <c r="C25" s="20"/>
      <c r="D25" s="21"/>
      <c r="E25" s="22"/>
      <c r="F25" s="4" t="s">
        <v>371</v>
      </c>
      <c r="G25" s="4" t="s">
        <v>370</v>
      </c>
      <c r="H25" s="4" t="s">
        <v>403</v>
      </c>
    </row>
    <row r="26" spans="1:8" x14ac:dyDescent="0.25">
      <c r="A26" s="172" t="s">
        <v>29</v>
      </c>
      <c r="B26" s="173"/>
      <c r="C26" s="173"/>
      <c r="D26" s="173"/>
      <c r="E26" s="174"/>
      <c r="F26" s="25"/>
      <c r="G26" s="56">
        <v>0</v>
      </c>
      <c r="H26" s="56">
        <v>16454.8</v>
      </c>
    </row>
    <row r="27" spans="1:8" ht="30" customHeight="1" x14ac:dyDescent="0.25">
      <c r="A27" s="175" t="s">
        <v>7</v>
      </c>
      <c r="B27" s="176"/>
      <c r="C27" s="176"/>
      <c r="D27" s="176"/>
      <c r="E27" s="177"/>
      <c r="F27" s="26"/>
      <c r="G27" s="57">
        <v>0</v>
      </c>
      <c r="H27" s="57">
        <v>137.53</v>
      </c>
    </row>
    <row r="30" spans="1:8" x14ac:dyDescent="0.25">
      <c r="A30" s="165" t="s">
        <v>11</v>
      </c>
      <c r="B30" s="157"/>
      <c r="C30" s="157"/>
      <c r="D30" s="157"/>
      <c r="E30" s="157"/>
      <c r="F30" s="24">
        <v>0</v>
      </c>
      <c r="G30" s="24">
        <v>0</v>
      </c>
      <c r="H30" s="24">
        <v>0</v>
      </c>
    </row>
    <row r="31" spans="1:8" ht="11.25" customHeight="1" x14ac:dyDescent="0.25">
      <c r="A31" s="10"/>
      <c r="B31" s="11"/>
      <c r="C31" s="11"/>
      <c r="D31" s="11"/>
      <c r="E31" s="11"/>
      <c r="F31" s="12"/>
      <c r="G31" s="12"/>
      <c r="H31" s="12"/>
    </row>
    <row r="32" spans="1:8" ht="8.25" customHeight="1" x14ac:dyDescent="0.25">
      <c r="A32" s="170"/>
      <c r="B32" s="171"/>
      <c r="C32" s="171"/>
      <c r="D32" s="171"/>
      <c r="E32" s="171"/>
      <c r="F32" s="171"/>
      <c r="G32" s="171"/>
      <c r="H32" s="171"/>
    </row>
    <row r="33" spans="1:8" ht="11.25" customHeight="1" x14ac:dyDescent="0.25"/>
    <row r="34" spans="1:8" ht="11.25" customHeight="1" x14ac:dyDescent="0.25">
      <c r="A34" s="170"/>
      <c r="B34" s="171"/>
      <c r="C34" s="171"/>
      <c r="D34" s="171"/>
      <c r="E34" s="171"/>
      <c r="F34" s="171"/>
      <c r="G34" s="171"/>
      <c r="H34" s="171"/>
    </row>
    <row r="35" spans="1:8" ht="8.25" customHeight="1" x14ac:dyDescent="0.25"/>
    <row r="36" spans="1:8" ht="29.25" customHeight="1" x14ac:dyDescent="0.25">
      <c r="A36" s="170" t="s">
        <v>31</v>
      </c>
      <c r="B36" s="171"/>
      <c r="C36" s="171"/>
      <c r="D36" s="171"/>
      <c r="E36" s="171"/>
      <c r="F36" s="171"/>
      <c r="G36" s="171"/>
      <c r="H36" s="171"/>
    </row>
    <row r="38" spans="1:8" x14ac:dyDescent="0.25">
      <c r="A38" t="s">
        <v>236</v>
      </c>
      <c r="E38" t="s">
        <v>237</v>
      </c>
      <c r="H38" t="s">
        <v>238</v>
      </c>
    </row>
    <row r="39" spans="1:8" x14ac:dyDescent="0.25">
      <c r="A39" t="s">
        <v>406</v>
      </c>
      <c r="E39" t="s">
        <v>407</v>
      </c>
      <c r="H39" t="s">
        <v>408</v>
      </c>
    </row>
    <row r="40" spans="1:8" x14ac:dyDescent="0.25">
      <c r="A40" t="s">
        <v>405</v>
      </c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Normal="100" zoomScaleSheetLayoutView="100" workbookViewId="0">
      <selection activeCell="A36" sqref="A36"/>
    </sheetView>
  </sheetViews>
  <sheetFormatPr defaultRowHeight="15" x14ac:dyDescent="0.25"/>
  <cols>
    <col min="1" max="1" width="9.140625" style="115"/>
    <col min="2" max="2" width="62.28515625" style="134" customWidth="1"/>
    <col min="3" max="3" width="14.5703125" style="135" customWidth="1"/>
    <col min="4" max="4" width="14.42578125" style="134" customWidth="1"/>
    <col min="5" max="5" width="15.140625" style="135" customWidth="1"/>
    <col min="6" max="6" width="11.42578125" style="134" customWidth="1"/>
    <col min="7" max="7" width="11.85546875" style="134" customWidth="1"/>
    <col min="9" max="9" width="13.85546875" customWidth="1"/>
    <col min="10" max="10" width="19.28515625" customWidth="1"/>
  </cols>
  <sheetData>
    <row r="1" spans="1:9" x14ac:dyDescent="0.25">
      <c r="A1" s="178" t="s">
        <v>260</v>
      </c>
      <c r="B1" s="178"/>
      <c r="C1" s="178"/>
      <c r="D1" s="178"/>
      <c r="E1" s="178"/>
      <c r="F1" s="178"/>
      <c r="G1" s="178"/>
    </row>
    <row r="2" spans="1:9" x14ac:dyDescent="0.25">
      <c r="A2" s="178" t="s">
        <v>320</v>
      </c>
      <c r="B2" s="178"/>
      <c r="C2" s="178"/>
      <c r="D2" s="178"/>
      <c r="E2" s="178"/>
      <c r="F2" s="178"/>
      <c r="G2" s="178"/>
      <c r="I2">
        <v>7.5345000000000004</v>
      </c>
    </row>
    <row r="3" spans="1:9" ht="26.25" x14ac:dyDescent="0.25">
      <c r="A3" s="108" t="s">
        <v>262</v>
      </c>
      <c r="B3" s="109" t="s">
        <v>16</v>
      </c>
      <c r="C3" s="111" t="s">
        <v>400</v>
      </c>
      <c r="D3" s="110" t="s">
        <v>364</v>
      </c>
      <c r="E3" s="110" t="s">
        <v>398</v>
      </c>
      <c r="F3" s="110" t="s">
        <v>263</v>
      </c>
      <c r="G3" s="110" t="s">
        <v>264</v>
      </c>
    </row>
    <row r="4" spans="1:9" x14ac:dyDescent="0.25">
      <c r="A4" s="113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5"/>
      <c r="I4" s="115"/>
    </row>
    <row r="5" spans="1:9" x14ac:dyDescent="0.25">
      <c r="A5" s="116"/>
      <c r="B5" s="117" t="s">
        <v>321</v>
      </c>
      <c r="C5" s="119">
        <f>C6+C28</f>
        <v>1409572.1</v>
      </c>
      <c r="D5" s="119">
        <f>D6+D28+D32</f>
        <v>1470839.26</v>
      </c>
      <c r="E5" s="119">
        <f t="shared" ref="E5" si="0">E6+E28</f>
        <v>1483886.75</v>
      </c>
      <c r="F5" s="120">
        <f>E5/C5*100</f>
        <v>105.27</v>
      </c>
      <c r="G5" s="120">
        <f>E5/D5*100</f>
        <v>100.89</v>
      </c>
      <c r="H5" s="115"/>
      <c r="I5" s="119">
        <f>C5*I2</f>
        <v>10620420.98745</v>
      </c>
    </row>
    <row r="6" spans="1:9" s="125" customFormat="1" x14ac:dyDescent="0.25">
      <c r="A6" s="121" t="s">
        <v>322</v>
      </c>
      <c r="B6" s="122" t="s">
        <v>1</v>
      </c>
      <c r="C6" s="123">
        <f>C8+C12+C15+C18+C21+C25</f>
        <v>1409572.1</v>
      </c>
      <c r="D6" s="123">
        <f>D7+D11+D14+D17+D24</f>
        <v>1470839.26</v>
      </c>
      <c r="E6" s="123">
        <f t="shared" ref="E6" si="1">E8+E12+E15+E18+E21+E25</f>
        <v>1483886.75</v>
      </c>
      <c r="F6" s="124"/>
      <c r="G6" s="124">
        <f t="shared" ref="G6:G8" si="2">E6/D6*100</f>
        <v>100.89</v>
      </c>
    </row>
    <row r="7" spans="1:9" s="125" customFormat="1" x14ac:dyDescent="0.25">
      <c r="A7" s="126" t="s">
        <v>323</v>
      </c>
      <c r="B7" s="127" t="s">
        <v>324</v>
      </c>
      <c r="C7" s="128">
        <f>C8</f>
        <v>1133687.02</v>
      </c>
      <c r="D7" s="128">
        <f>D8</f>
        <v>1189686.8400000001</v>
      </c>
      <c r="E7" s="128">
        <f t="shared" ref="E7" si="3">E8</f>
        <v>1325260.6100000001</v>
      </c>
      <c r="F7" s="129">
        <f t="shared" ref="F7:F27" si="4">E7/C7*100</f>
        <v>116.9</v>
      </c>
      <c r="G7" s="129">
        <f t="shared" si="2"/>
        <v>111.4</v>
      </c>
    </row>
    <row r="8" spans="1:9" s="125" customFormat="1" x14ac:dyDescent="0.25">
      <c r="A8" s="130" t="s">
        <v>325</v>
      </c>
      <c r="B8" s="131" t="s">
        <v>326</v>
      </c>
      <c r="C8" s="132">
        <f>SUM(C9:C10)</f>
        <v>1133687.02</v>
      </c>
      <c r="D8" s="132">
        <f>D9+D10</f>
        <v>1189686.8400000001</v>
      </c>
      <c r="E8" s="132">
        <f t="shared" ref="E8" si="5">SUM(E9:E10)</f>
        <v>1325260.6100000001</v>
      </c>
      <c r="F8" s="133">
        <f t="shared" si="4"/>
        <v>116.9</v>
      </c>
      <c r="G8" s="133">
        <f t="shared" si="2"/>
        <v>111.4</v>
      </c>
    </row>
    <row r="9" spans="1:9" ht="26.25" x14ac:dyDescent="0.25">
      <c r="A9" s="137" t="s">
        <v>327</v>
      </c>
      <c r="B9" s="222" t="s">
        <v>328</v>
      </c>
      <c r="C9" s="135">
        <f>8498974.15/I2</f>
        <v>1128007.72</v>
      </c>
      <c r="D9" s="135">
        <f>1189686.84</f>
        <v>1189686.8400000001</v>
      </c>
      <c r="E9" s="135">
        <v>1322680.76</v>
      </c>
      <c r="F9" s="136">
        <f t="shared" si="4"/>
        <v>117.26</v>
      </c>
      <c r="G9" s="140" t="s">
        <v>269</v>
      </c>
    </row>
    <row r="10" spans="1:9" ht="26.25" x14ac:dyDescent="0.25">
      <c r="A10" s="137" t="s">
        <v>329</v>
      </c>
      <c r="B10" s="222" t="s">
        <v>330</v>
      </c>
      <c r="C10" s="135">
        <f>42790.66/I2</f>
        <v>5679.3</v>
      </c>
      <c r="D10" s="134">
        <v>0</v>
      </c>
      <c r="E10" s="135">
        <v>2579.85</v>
      </c>
      <c r="F10" s="136"/>
      <c r="G10" s="140" t="s">
        <v>269</v>
      </c>
      <c r="I10" s="47">
        <f>D5-'Prih. i rash.prema izvorima fin'!D41</f>
        <v>0</v>
      </c>
    </row>
    <row r="11" spans="1:9" s="125" customFormat="1" x14ac:dyDescent="0.25">
      <c r="A11" s="138" t="s">
        <v>331</v>
      </c>
      <c r="B11" s="127" t="s">
        <v>332</v>
      </c>
      <c r="C11" s="128">
        <f>C12</f>
        <v>0.22</v>
      </c>
      <c r="D11" s="128">
        <f t="shared" ref="D11:E11" si="6">D12</f>
        <v>0</v>
      </c>
      <c r="E11" s="128">
        <f t="shared" si="6"/>
        <v>11.64</v>
      </c>
      <c r="F11" s="129">
        <f t="shared" si="4"/>
        <v>5290.91</v>
      </c>
      <c r="G11" s="141"/>
    </row>
    <row r="12" spans="1:9" s="125" customFormat="1" x14ac:dyDescent="0.25">
      <c r="A12" s="139" t="s">
        <v>333</v>
      </c>
      <c r="B12" s="131" t="s">
        <v>334</v>
      </c>
      <c r="C12" s="132">
        <f>C13</f>
        <v>0.22</v>
      </c>
      <c r="D12" s="132">
        <f t="shared" ref="D12:E12" si="7">D13</f>
        <v>0</v>
      </c>
      <c r="E12" s="132">
        <f t="shared" si="7"/>
        <v>11.64</v>
      </c>
      <c r="F12" s="133">
        <f t="shared" si="4"/>
        <v>5290.91</v>
      </c>
      <c r="G12" s="142"/>
    </row>
    <row r="13" spans="1:9" x14ac:dyDescent="0.25">
      <c r="A13" s="137" t="s">
        <v>335</v>
      </c>
      <c r="B13" s="134" t="s">
        <v>336</v>
      </c>
      <c r="C13" s="135">
        <f>1.69/I2</f>
        <v>0.22</v>
      </c>
      <c r="D13" s="135"/>
      <c r="E13" s="135">
        <v>11.64</v>
      </c>
      <c r="F13" s="136">
        <f t="shared" si="4"/>
        <v>5290.91</v>
      </c>
      <c r="G13" s="140" t="s">
        <v>269</v>
      </c>
    </row>
    <row r="14" spans="1:9" s="125" customFormat="1" x14ac:dyDescent="0.25">
      <c r="A14" s="138" t="s">
        <v>337</v>
      </c>
      <c r="B14" s="127" t="s">
        <v>338</v>
      </c>
      <c r="C14" s="128">
        <f>C15</f>
        <v>44390.02</v>
      </c>
      <c r="D14" s="128">
        <f t="shared" ref="D14:E14" si="8">D15</f>
        <v>43065.24</v>
      </c>
      <c r="E14" s="128">
        <f t="shared" si="8"/>
        <v>21086.03</v>
      </c>
      <c r="F14" s="129">
        <f t="shared" si="4"/>
        <v>47.5</v>
      </c>
      <c r="G14" s="141">
        <f t="shared" ref="G14:G15" si="9">E14/D14*100</f>
        <v>48.96</v>
      </c>
    </row>
    <row r="15" spans="1:9" s="125" customFormat="1" x14ac:dyDescent="0.25">
      <c r="A15" s="139" t="s">
        <v>339</v>
      </c>
      <c r="B15" s="131" t="s">
        <v>340</v>
      </c>
      <c r="C15" s="132">
        <f>C16</f>
        <v>44390.02</v>
      </c>
      <c r="D15" s="132">
        <f>D16</f>
        <v>43065.24</v>
      </c>
      <c r="E15" s="132">
        <f t="shared" ref="E15" si="10">E16</f>
        <v>21086.03</v>
      </c>
      <c r="F15" s="133">
        <f t="shared" si="4"/>
        <v>47.5</v>
      </c>
      <c r="G15" s="142">
        <f t="shared" si="9"/>
        <v>48.96</v>
      </c>
    </row>
    <row r="16" spans="1:9" x14ac:dyDescent="0.25">
      <c r="A16" s="137" t="s">
        <v>341</v>
      </c>
      <c r="B16" s="134" t="s">
        <v>342</v>
      </c>
      <c r="C16" s="135">
        <f>334456.58/I2</f>
        <v>44390.02</v>
      </c>
      <c r="D16" s="135">
        <v>43065.24</v>
      </c>
      <c r="E16" s="135">
        <v>21086.03</v>
      </c>
      <c r="F16" s="136">
        <f t="shared" si="4"/>
        <v>47.5</v>
      </c>
      <c r="G16" s="140" t="s">
        <v>269</v>
      </c>
    </row>
    <row r="17" spans="1:7" s="125" customFormat="1" x14ac:dyDescent="0.25">
      <c r="A17" s="138" t="s">
        <v>343</v>
      </c>
      <c r="B17" s="127" t="s">
        <v>344</v>
      </c>
      <c r="C17" s="128">
        <f>C18+C21</f>
        <v>915.12</v>
      </c>
      <c r="D17" s="128">
        <f>D18+D21</f>
        <v>9108.64</v>
      </c>
      <c r="E17" s="128">
        <f t="shared" ref="E17" si="11">E18+E21</f>
        <v>2105.52</v>
      </c>
      <c r="F17" s="129">
        <f t="shared" si="4"/>
        <v>230.08</v>
      </c>
      <c r="G17" s="141">
        <f t="shared" ref="G17:G18" si="12">E17/D17*100</f>
        <v>23.12</v>
      </c>
    </row>
    <row r="18" spans="1:7" s="125" customFormat="1" x14ac:dyDescent="0.25">
      <c r="A18" s="139" t="s">
        <v>345</v>
      </c>
      <c r="B18" s="131" t="s">
        <v>346</v>
      </c>
      <c r="C18" s="132">
        <f>SUM(C19:C20)</f>
        <v>328.49</v>
      </c>
      <c r="D18" s="132">
        <f>SUM(D19:D20)</f>
        <v>8577.75</v>
      </c>
      <c r="E18" s="132">
        <f t="shared" ref="E18" si="13">SUM(E19:E20)</f>
        <v>741.54</v>
      </c>
      <c r="F18" s="133">
        <f t="shared" si="4"/>
        <v>225.74</v>
      </c>
      <c r="G18" s="142">
        <f t="shared" si="12"/>
        <v>8.64</v>
      </c>
    </row>
    <row r="19" spans="1:7" x14ac:dyDescent="0.25">
      <c r="A19" s="137">
        <v>6614</v>
      </c>
      <c r="B19" s="134" t="s">
        <v>347</v>
      </c>
      <c r="C19" s="135">
        <v>0</v>
      </c>
      <c r="D19" s="135">
        <v>0</v>
      </c>
      <c r="E19" s="135">
        <v>0</v>
      </c>
      <c r="F19" s="136"/>
      <c r="G19" s="140" t="s">
        <v>269</v>
      </c>
    </row>
    <row r="20" spans="1:7" x14ac:dyDescent="0.25">
      <c r="A20" s="137" t="s">
        <v>348</v>
      </c>
      <c r="B20" s="134" t="s">
        <v>349</v>
      </c>
      <c r="C20" s="135">
        <f>2475/I2</f>
        <v>328.49</v>
      </c>
      <c r="D20" s="135">
        <v>8577.75</v>
      </c>
      <c r="E20" s="135">
        <v>741.54</v>
      </c>
      <c r="F20" s="136">
        <f t="shared" si="4"/>
        <v>225.74</v>
      </c>
      <c r="G20" s="140" t="s">
        <v>269</v>
      </c>
    </row>
    <row r="21" spans="1:7" s="125" customFormat="1" x14ac:dyDescent="0.25">
      <c r="A21" s="139" t="s">
        <v>350</v>
      </c>
      <c r="B21" s="131" t="s">
        <v>351</v>
      </c>
      <c r="C21" s="132">
        <f>C22</f>
        <v>586.63</v>
      </c>
      <c r="D21" s="132">
        <f>D22+D23</f>
        <v>530.89</v>
      </c>
      <c r="E21" s="132">
        <f>SUM(E22:E23)</f>
        <v>1363.98</v>
      </c>
      <c r="F21" s="133">
        <f t="shared" si="4"/>
        <v>232.51</v>
      </c>
      <c r="G21" s="142">
        <f t="shared" ref="G21" si="14">E21/D21*100</f>
        <v>256.92</v>
      </c>
    </row>
    <row r="22" spans="1:7" x14ac:dyDescent="0.25">
      <c r="A22" s="137" t="s">
        <v>352</v>
      </c>
      <c r="B22" s="134" t="s">
        <v>309</v>
      </c>
      <c r="C22" s="135">
        <f>4420/I2</f>
        <v>586.63</v>
      </c>
      <c r="D22" s="135">
        <v>530.89</v>
      </c>
      <c r="E22" s="135">
        <v>1360.98</v>
      </c>
      <c r="F22" s="136">
        <f t="shared" si="4"/>
        <v>232</v>
      </c>
      <c r="G22" s="140" t="s">
        <v>269</v>
      </c>
    </row>
    <row r="23" spans="1:7" x14ac:dyDescent="0.25">
      <c r="A23" s="137">
        <v>6632</v>
      </c>
      <c r="B23" s="134" t="s">
        <v>401</v>
      </c>
      <c r="C23" s="135">
        <v>0</v>
      </c>
      <c r="D23" s="135">
        <v>0</v>
      </c>
      <c r="E23" s="135">
        <v>3</v>
      </c>
      <c r="F23" s="136">
        <v>0</v>
      </c>
      <c r="G23" s="140" t="s">
        <v>269</v>
      </c>
    </row>
    <row r="24" spans="1:7" s="125" customFormat="1" x14ac:dyDescent="0.25">
      <c r="A24" s="138" t="s">
        <v>353</v>
      </c>
      <c r="B24" s="127" t="s">
        <v>354</v>
      </c>
      <c r="C24" s="128">
        <f>C25</f>
        <v>230579.72</v>
      </c>
      <c r="D24" s="128">
        <f t="shared" ref="D24:E24" si="15">D25</f>
        <v>228978.54</v>
      </c>
      <c r="E24" s="128">
        <f t="shared" si="15"/>
        <v>135422.95000000001</v>
      </c>
      <c r="F24" s="129">
        <f t="shared" si="4"/>
        <v>58.73</v>
      </c>
      <c r="G24" s="141">
        <f t="shared" ref="G24:G25" si="16">E24/D24*100</f>
        <v>59.14</v>
      </c>
    </row>
    <row r="25" spans="1:7" s="125" customFormat="1" x14ac:dyDescent="0.25">
      <c r="A25" s="139" t="s">
        <v>355</v>
      </c>
      <c r="B25" s="131" t="s">
        <v>356</v>
      </c>
      <c r="C25" s="132">
        <f>SUM(C26:C27)</f>
        <v>230579.72</v>
      </c>
      <c r="D25" s="132">
        <f>D26+D27</f>
        <v>228978.54</v>
      </c>
      <c r="E25" s="132">
        <f t="shared" ref="E25" si="17">SUM(E26:E27)</f>
        <v>135422.95000000001</v>
      </c>
      <c r="F25" s="133">
        <f t="shared" si="4"/>
        <v>58.73</v>
      </c>
      <c r="G25" s="142">
        <f t="shared" si="16"/>
        <v>59.14</v>
      </c>
    </row>
    <row r="26" spans="1:7" x14ac:dyDescent="0.25">
      <c r="A26" s="137" t="s">
        <v>357</v>
      </c>
      <c r="B26" s="134" t="s">
        <v>358</v>
      </c>
      <c r="C26" s="135">
        <f>1131624.94/I2</f>
        <v>150192.44</v>
      </c>
      <c r="D26" s="135">
        <f>2156.25+130906.43+47795+48120.86</f>
        <v>228978.54</v>
      </c>
      <c r="E26" s="135">
        <v>134822.95000000001</v>
      </c>
      <c r="F26" s="136">
        <f t="shared" si="4"/>
        <v>89.77</v>
      </c>
      <c r="G26" s="140" t="s">
        <v>269</v>
      </c>
    </row>
    <row r="27" spans="1:7" ht="26.25" x14ac:dyDescent="0.25">
      <c r="A27" s="137" t="s">
        <v>359</v>
      </c>
      <c r="B27" s="222" t="s">
        <v>360</v>
      </c>
      <c r="C27" s="135">
        <f>605677.94/I2</f>
        <v>80387.28</v>
      </c>
      <c r="D27" s="134">
        <v>0</v>
      </c>
      <c r="E27" s="135">
        <v>600</v>
      </c>
      <c r="F27" s="136">
        <f t="shared" si="4"/>
        <v>0.75</v>
      </c>
      <c r="G27" s="140" t="s">
        <v>269</v>
      </c>
    </row>
    <row r="28" spans="1:7" s="125" customFormat="1" x14ac:dyDescent="0.25">
      <c r="A28" s="143">
        <v>7</v>
      </c>
      <c r="B28" s="122" t="s">
        <v>2</v>
      </c>
      <c r="C28" s="123">
        <f>C29</f>
        <v>0</v>
      </c>
      <c r="D28" s="123">
        <f t="shared" ref="D28:E30" si="18">D29</f>
        <v>0</v>
      </c>
      <c r="E28" s="123">
        <f t="shared" si="18"/>
        <v>0</v>
      </c>
      <c r="F28" s="123"/>
      <c r="G28" s="129">
        <v>0</v>
      </c>
    </row>
    <row r="29" spans="1:7" s="125" customFormat="1" x14ac:dyDescent="0.25">
      <c r="A29" s="138">
        <v>72</v>
      </c>
      <c r="B29" s="127" t="s">
        <v>361</v>
      </c>
      <c r="C29" s="128">
        <f>C30</f>
        <v>0</v>
      </c>
      <c r="D29" s="128">
        <f t="shared" si="18"/>
        <v>0</v>
      </c>
      <c r="E29" s="128">
        <f t="shared" si="18"/>
        <v>0</v>
      </c>
      <c r="F29" s="129"/>
      <c r="G29" s="129">
        <v>0</v>
      </c>
    </row>
    <row r="30" spans="1:7" s="125" customFormat="1" x14ac:dyDescent="0.25">
      <c r="A30" s="139">
        <v>721</v>
      </c>
      <c r="B30" s="131" t="s">
        <v>362</v>
      </c>
      <c r="C30" s="132">
        <f>C31</f>
        <v>0</v>
      </c>
      <c r="D30" s="132">
        <f t="shared" si="18"/>
        <v>0</v>
      </c>
      <c r="E30" s="132">
        <f t="shared" si="18"/>
        <v>0</v>
      </c>
      <c r="F30" s="133"/>
      <c r="G30" s="133">
        <v>0</v>
      </c>
    </row>
    <row r="31" spans="1:7" x14ac:dyDescent="0.25">
      <c r="A31" s="137">
        <v>7211</v>
      </c>
      <c r="B31" s="134" t="s">
        <v>363</v>
      </c>
      <c r="C31" s="135">
        <v>0</v>
      </c>
      <c r="D31" s="134">
        <v>0</v>
      </c>
      <c r="E31" s="135">
        <v>0</v>
      </c>
      <c r="F31" s="136"/>
      <c r="G31" s="140" t="s">
        <v>269</v>
      </c>
    </row>
    <row r="32" spans="1:7" s="125" customFormat="1" x14ac:dyDescent="0.25">
      <c r="A32" s="139">
        <v>92211</v>
      </c>
      <c r="B32" s="131" t="s">
        <v>402</v>
      </c>
      <c r="C32" s="132">
        <v>0</v>
      </c>
      <c r="D32" s="132"/>
      <c r="E32" s="132"/>
      <c r="F32" s="133"/>
      <c r="G32" s="133">
        <v>0</v>
      </c>
    </row>
    <row r="33" spans="1:7" s="125" customFormat="1" x14ac:dyDescent="0.25">
      <c r="A33" s="139">
        <v>92221</v>
      </c>
      <c r="B33" s="131" t="s">
        <v>366</v>
      </c>
      <c r="C33" s="132">
        <v>0</v>
      </c>
      <c r="D33" s="132"/>
      <c r="E33" s="132">
        <v>-137.53</v>
      </c>
      <c r="F33" s="133"/>
      <c r="G33" s="133">
        <v>0</v>
      </c>
    </row>
    <row r="35" spans="1:7" x14ac:dyDescent="0.25">
      <c r="A35" t="s">
        <v>236</v>
      </c>
      <c r="C35" s="47" t="s">
        <v>237</v>
      </c>
      <c r="E35" t="s">
        <v>238</v>
      </c>
    </row>
    <row r="36" spans="1:7" x14ac:dyDescent="0.25">
      <c r="A36" t="s">
        <v>406</v>
      </c>
      <c r="C36" t="s">
        <v>407</v>
      </c>
      <c r="E36" t="s">
        <v>408</v>
      </c>
    </row>
    <row r="37" spans="1:7" x14ac:dyDescent="0.25">
      <c r="A37" t="s">
        <v>405</v>
      </c>
    </row>
  </sheetData>
  <mergeCells count="2">
    <mergeCell ref="A1:G1"/>
    <mergeCell ref="A2:G2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view="pageBreakPreview" topLeftCell="A46" zoomScaleNormal="100" zoomScaleSheetLayoutView="100" workbookViewId="0">
      <selection activeCell="A73" sqref="A73"/>
    </sheetView>
  </sheetViews>
  <sheetFormatPr defaultRowHeight="15" x14ac:dyDescent="0.25"/>
  <cols>
    <col min="2" max="2" width="47.42578125" style="134" customWidth="1"/>
    <col min="3" max="3" width="13.28515625" style="135" customWidth="1"/>
    <col min="4" max="4" width="14.140625" style="135" customWidth="1"/>
    <col min="5" max="5" width="14.85546875" style="135" customWidth="1"/>
    <col min="6" max="6" width="10.85546875" style="136" customWidth="1"/>
    <col min="7" max="7" width="10.28515625" style="134" customWidth="1"/>
    <col min="11" max="11" width="9.85546875" bestFit="1" customWidth="1"/>
  </cols>
  <sheetData>
    <row r="1" spans="1:11" x14ac:dyDescent="0.25">
      <c r="A1" s="178" t="s">
        <v>260</v>
      </c>
      <c r="B1" s="178"/>
      <c r="C1" s="178"/>
      <c r="D1" s="178"/>
      <c r="E1" s="178"/>
      <c r="F1" s="178"/>
      <c r="G1" s="178"/>
    </row>
    <row r="2" spans="1:11" x14ac:dyDescent="0.25">
      <c r="A2" s="178" t="s">
        <v>261</v>
      </c>
      <c r="B2" s="178"/>
      <c r="C2" s="178"/>
      <c r="D2" s="178"/>
      <c r="E2" s="178"/>
      <c r="F2" s="178"/>
      <c r="G2" s="178"/>
      <c r="I2">
        <v>7.5345000000000004</v>
      </c>
    </row>
    <row r="3" spans="1:11" ht="26.25" x14ac:dyDescent="0.25">
      <c r="A3" s="108" t="s">
        <v>262</v>
      </c>
      <c r="B3" s="109" t="s">
        <v>16</v>
      </c>
      <c r="C3" s="111" t="s">
        <v>397</v>
      </c>
      <c r="D3" s="111" t="s">
        <v>364</v>
      </c>
      <c r="E3" s="110" t="s">
        <v>398</v>
      </c>
      <c r="F3" s="112" t="s">
        <v>263</v>
      </c>
      <c r="G3" s="110" t="s">
        <v>264</v>
      </c>
    </row>
    <row r="4" spans="1:11" x14ac:dyDescent="0.25">
      <c r="A4" s="113">
        <v>1</v>
      </c>
      <c r="B4" s="114">
        <v>2</v>
      </c>
      <c r="C4" s="144">
        <v>3</v>
      </c>
      <c r="D4" s="114">
        <v>4</v>
      </c>
      <c r="E4" s="114">
        <v>5</v>
      </c>
      <c r="F4" s="114">
        <v>6</v>
      </c>
      <c r="G4" s="114">
        <v>7</v>
      </c>
      <c r="H4" s="115"/>
      <c r="I4" s="47"/>
    </row>
    <row r="5" spans="1:11" ht="18.75" customHeight="1" x14ac:dyDescent="0.25">
      <c r="A5" s="116"/>
      <c r="B5" s="117" t="s">
        <v>20</v>
      </c>
      <c r="C5" s="118">
        <f>C6+C57</f>
        <v>1412813.27</v>
      </c>
      <c r="D5" s="118">
        <f>D6+D57</f>
        <v>1470839.26</v>
      </c>
      <c r="E5" s="119">
        <f>E6+E57</f>
        <v>1484024.28</v>
      </c>
      <c r="F5" s="146">
        <f>E5/C5*100</f>
        <v>105.04</v>
      </c>
      <c r="G5" s="146">
        <f>E5/D5*100</f>
        <v>100.9</v>
      </c>
      <c r="H5" s="115"/>
    </row>
    <row r="6" spans="1:11" s="125" customFormat="1" x14ac:dyDescent="0.25">
      <c r="A6" s="121" t="s">
        <v>177</v>
      </c>
      <c r="B6" s="122" t="s">
        <v>265</v>
      </c>
      <c r="C6" s="123">
        <f>C7+C15+C46+C50+C53</f>
        <v>1322288.81</v>
      </c>
      <c r="D6" s="123">
        <f>D7+D15+D46+D50</f>
        <v>1372992.8</v>
      </c>
      <c r="E6" s="123">
        <f>E7+E15+E46+E50+E53</f>
        <v>1480764.18</v>
      </c>
      <c r="F6" s="124">
        <f t="shared" ref="F6:F49" si="0">E6/C6*100</f>
        <v>111.98</v>
      </c>
      <c r="G6" s="124">
        <f t="shared" ref="G6:G8" si="1">E6/D6*100</f>
        <v>107.85</v>
      </c>
      <c r="K6" s="145"/>
    </row>
    <row r="7" spans="1:11" s="125" customFormat="1" x14ac:dyDescent="0.25">
      <c r="A7" s="126" t="s">
        <v>178</v>
      </c>
      <c r="B7" s="127" t="s">
        <v>266</v>
      </c>
      <c r="C7" s="128">
        <f>C8+C10+C12</f>
        <v>1068804.51</v>
      </c>
      <c r="D7" s="128">
        <f>D8+D10+D12</f>
        <v>1120156.52</v>
      </c>
      <c r="E7" s="128">
        <f>E8+E10+E12</f>
        <v>1198062.8999999999</v>
      </c>
      <c r="F7" s="129">
        <f t="shared" si="0"/>
        <v>112.09</v>
      </c>
      <c r="G7" s="129">
        <f t="shared" si="1"/>
        <v>106.95</v>
      </c>
    </row>
    <row r="8" spans="1:11" s="125" customFormat="1" x14ac:dyDescent="0.25">
      <c r="A8" s="130" t="s">
        <v>179</v>
      </c>
      <c r="B8" s="131" t="s">
        <v>267</v>
      </c>
      <c r="C8" s="132">
        <f>C9</f>
        <v>880872.3</v>
      </c>
      <c r="D8" s="132">
        <f>D9</f>
        <v>930889.79</v>
      </c>
      <c r="E8" s="132">
        <f>E9</f>
        <v>988609.16</v>
      </c>
      <c r="F8" s="133">
        <f t="shared" si="0"/>
        <v>112.23</v>
      </c>
      <c r="G8" s="133">
        <f t="shared" si="1"/>
        <v>106.2</v>
      </c>
    </row>
    <row r="9" spans="1:11" x14ac:dyDescent="0.25">
      <c r="A9" t="s">
        <v>153</v>
      </c>
      <c r="B9" s="134" t="s">
        <v>268</v>
      </c>
      <c r="C9" s="135">
        <f>6636932.31/I2</f>
        <v>880872.3</v>
      </c>
      <c r="D9" s="135">
        <v>930889.79</v>
      </c>
      <c r="E9" s="135">
        <v>988609.16</v>
      </c>
      <c r="F9" s="136">
        <f t="shared" si="0"/>
        <v>112.23</v>
      </c>
      <c r="G9" s="134" t="s">
        <v>269</v>
      </c>
    </row>
    <row r="10" spans="1:11" s="125" customFormat="1" x14ac:dyDescent="0.25">
      <c r="A10" s="130" t="s">
        <v>180</v>
      </c>
      <c r="B10" s="131" t="s">
        <v>270</v>
      </c>
      <c r="C10" s="132">
        <f>SUM(C11)</f>
        <v>41594.49</v>
      </c>
      <c r="D10" s="132">
        <f>SUM(D11)</f>
        <v>38698.089999999997</v>
      </c>
      <c r="E10" s="132">
        <f>SUM(E11)</f>
        <v>45892.04</v>
      </c>
      <c r="F10" s="133">
        <f t="shared" si="0"/>
        <v>110.33</v>
      </c>
      <c r="G10" s="133">
        <f>E10/D10*100</f>
        <v>118.59</v>
      </c>
    </row>
    <row r="11" spans="1:11" x14ac:dyDescent="0.25">
      <c r="A11" t="s">
        <v>154</v>
      </c>
      <c r="B11" s="134" t="s">
        <v>270</v>
      </c>
      <c r="C11" s="135">
        <f>313393.66/I2</f>
        <v>41594.49</v>
      </c>
      <c r="D11" s="135">
        <v>38698.089999999997</v>
      </c>
      <c r="E11" s="135">
        <v>45892.04</v>
      </c>
      <c r="F11" s="136">
        <f t="shared" si="0"/>
        <v>110.33</v>
      </c>
      <c r="G11" s="134" t="s">
        <v>269</v>
      </c>
      <c r="K11" s="86"/>
    </row>
    <row r="12" spans="1:11" s="125" customFormat="1" x14ac:dyDescent="0.25">
      <c r="A12" s="130" t="s">
        <v>181</v>
      </c>
      <c r="B12" s="131" t="s">
        <v>271</v>
      </c>
      <c r="C12" s="132">
        <f>SUM(C13:C14)</f>
        <v>146337.72</v>
      </c>
      <c r="D12" s="132">
        <f>SUM(D13:D14)</f>
        <v>150568.64000000001</v>
      </c>
      <c r="E12" s="132">
        <f>SUM(E13:E14)</f>
        <v>163561.70000000001</v>
      </c>
      <c r="F12" s="133">
        <f t="shared" si="0"/>
        <v>111.77</v>
      </c>
      <c r="G12" s="133">
        <f>E12/D12*100</f>
        <v>108.63</v>
      </c>
    </row>
    <row r="13" spans="1:11" x14ac:dyDescent="0.25">
      <c r="A13" t="s">
        <v>155</v>
      </c>
      <c r="B13" s="134" t="s">
        <v>272</v>
      </c>
      <c r="C13" s="135">
        <f>1101352.58/I2</f>
        <v>146174.60999999999</v>
      </c>
      <c r="D13" s="135">
        <v>150542.1</v>
      </c>
      <c r="E13" s="135">
        <v>163546.97</v>
      </c>
      <c r="F13" s="136">
        <f t="shared" si="0"/>
        <v>111.88</v>
      </c>
      <c r="G13" s="134" t="s">
        <v>269</v>
      </c>
    </row>
    <row r="14" spans="1:11" x14ac:dyDescent="0.25">
      <c r="A14" t="s">
        <v>169</v>
      </c>
      <c r="B14" s="134" t="s">
        <v>273</v>
      </c>
      <c r="C14" s="135">
        <f>1228.92/I2</f>
        <v>163.11000000000001</v>
      </c>
      <c r="D14" s="135">
        <v>26.54</v>
      </c>
      <c r="E14" s="135">
        <v>14.73</v>
      </c>
      <c r="F14" s="136">
        <f t="shared" si="0"/>
        <v>9.0299999999999994</v>
      </c>
      <c r="G14" s="134" t="s">
        <v>269</v>
      </c>
    </row>
    <row r="15" spans="1:11" s="125" customFormat="1" x14ac:dyDescent="0.25">
      <c r="A15" s="126" t="s">
        <v>182</v>
      </c>
      <c r="B15" s="127" t="s">
        <v>274</v>
      </c>
      <c r="C15" s="128">
        <f>C16+C21+C28+C38</f>
        <v>245784.23</v>
      </c>
      <c r="D15" s="128">
        <f>D16+D21+D28+D38</f>
        <v>249358.04</v>
      </c>
      <c r="E15" s="128">
        <f>E16+E21+E28+E38</f>
        <v>278312.56</v>
      </c>
      <c r="F15" s="129">
        <f t="shared" si="0"/>
        <v>113.23</v>
      </c>
      <c r="G15" s="129">
        <f>E15/D15*100</f>
        <v>111.61</v>
      </c>
    </row>
    <row r="16" spans="1:11" s="125" customFormat="1" x14ac:dyDescent="0.25">
      <c r="A16" s="130" t="s">
        <v>183</v>
      </c>
      <c r="B16" s="131" t="s">
        <v>275</v>
      </c>
      <c r="C16" s="132">
        <f>SUM(C17:C19)</f>
        <v>39254.33</v>
      </c>
      <c r="D16" s="132">
        <f>SUM(D17:D19)</f>
        <v>61111.16</v>
      </c>
      <c r="E16" s="132">
        <f>SUM(E17:E20)</f>
        <v>48613.98</v>
      </c>
      <c r="F16" s="133">
        <f t="shared" si="0"/>
        <v>123.84</v>
      </c>
      <c r="G16" s="133">
        <f>E16/D16*100</f>
        <v>79.55</v>
      </c>
    </row>
    <row r="17" spans="1:7" x14ac:dyDescent="0.25">
      <c r="A17" t="s">
        <v>156</v>
      </c>
      <c r="B17" s="134" t="s">
        <v>276</v>
      </c>
      <c r="C17" s="135">
        <f>40167.83/I2</f>
        <v>5331.19</v>
      </c>
      <c r="D17" s="135">
        <v>10674</v>
      </c>
      <c r="E17" s="135">
        <v>7201.97</v>
      </c>
      <c r="F17" s="136">
        <f t="shared" si="0"/>
        <v>135.09</v>
      </c>
      <c r="G17" s="134" t="s">
        <v>269</v>
      </c>
    </row>
    <row r="18" spans="1:7" x14ac:dyDescent="0.25">
      <c r="A18" t="s">
        <v>157</v>
      </c>
      <c r="B18" s="134" t="s">
        <v>277</v>
      </c>
      <c r="C18" s="135">
        <f>250960.35/I2</f>
        <v>33308.160000000003</v>
      </c>
      <c r="D18" s="135">
        <v>47455</v>
      </c>
      <c r="E18" s="135">
        <v>40202.75</v>
      </c>
      <c r="F18" s="136">
        <f t="shared" si="0"/>
        <v>120.7</v>
      </c>
      <c r="G18" s="134" t="s">
        <v>269</v>
      </c>
    </row>
    <row r="19" spans="1:7" x14ac:dyDescent="0.25">
      <c r="A19" t="s">
        <v>186</v>
      </c>
      <c r="B19" s="134" t="s">
        <v>278</v>
      </c>
      <c r="C19" s="135">
        <f>4633.6/I2</f>
        <v>614.98</v>
      </c>
      <c r="D19" s="135">
        <v>2982.16</v>
      </c>
      <c r="E19" s="135">
        <v>534.17999999999995</v>
      </c>
      <c r="F19" s="136">
        <f t="shared" si="0"/>
        <v>86.86</v>
      </c>
      <c r="G19" s="134" t="s">
        <v>269</v>
      </c>
    </row>
    <row r="20" spans="1:7" x14ac:dyDescent="0.25">
      <c r="A20" s="137">
        <v>3214</v>
      </c>
      <c r="B20" s="134" t="s">
        <v>270</v>
      </c>
      <c r="C20" s="135">
        <v>0</v>
      </c>
      <c r="D20" s="135">
        <v>0</v>
      </c>
      <c r="E20" s="135">
        <v>675.08</v>
      </c>
      <c r="G20" s="134" t="s">
        <v>269</v>
      </c>
    </row>
    <row r="21" spans="1:7" s="125" customFormat="1" x14ac:dyDescent="0.25">
      <c r="A21" s="130" t="s">
        <v>189</v>
      </c>
      <c r="B21" s="131" t="s">
        <v>279</v>
      </c>
      <c r="C21" s="132">
        <f>SUM(C22:C27)</f>
        <v>107197.82</v>
      </c>
      <c r="D21" s="132">
        <f>SUM(D22:D27)</f>
        <v>114489.05</v>
      </c>
      <c r="E21" s="132">
        <f>SUM(E22:E27)</f>
        <v>156402.32999999999</v>
      </c>
      <c r="F21" s="133">
        <f t="shared" si="0"/>
        <v>145.9</v>
      </c>
      <c r="G21" s="133">
        <f>E21/D21*100</f>
        <v>136.61000000000001</v>
      </c>
    </row>
    <row r="22" spans="1:7" x14ac:dyDescent="0.25">
      <c r="A22" t="s">
        <v>172</v>
      </c>
      <c r="B22" s="134" t="s">
        <v>280</v>
      </c>
      <c r="C22" s="135">
        <f>258064.32/I2</f>
        <v>34251.019999999997</v>
      </c>
      <c r="D22" s="135">
        <v>32053.54</v>
      </c>
      <c r="E22" s="135">
        <v>31885.61</v>
      </c>
      <c r="F22" s="136">
        <f t="shared" si="0"/>
        <v>93.09</v>
      </c>
      <c r="G22" s="134" t="s">
        <v>269</v>
      </c>
    </row>
    <row r="23" spans="1:7" x14ac:dyDescent="0.25">
      <c r="A23" t="s">
        <v>173</v>
      </c>
      <c r="B23" s="134" t="s">
        <v>281</v>
      </c>
      <c r="C23" s="135">
        <f>386552.69/I2</f>
        <v>51304.36</v>
      </c>
      <c r="D23" s="135">
        <v>57625.85</v>
      </c>
      <c r="E23" s="135">
        <v>103748.14</v>
      </c>
      <c r="F23" s="136">
        <f t="shared" si="0"/>
        <v>202.22</v>
      </c>
      <c r="G23" s="134" t="s">
        <v>269</v>
      </c>
    </row>
    <row r="24" spans="1:7" x14ac:dyDescent="0.25">
      <c r="A24" t="s">
        <v>190</v>
      </c>
      <c r="B24" s="134" t="s">
        <v>282</v>
      </c>
      <c r="C24" s="135">
        <f>110613/I2</f>
        <v>14680.87</v>
      </c>
      <c r="D24" s="135">
        <v>19525.75</v>
      </c>
      <c r="E24" s="135">
        <v>14787.03</v>
      </c>
      <c r="F24" s="136">
        <f t="shared" si="0"/>
        <v>100.72</v>
      </c>
      <c r="G24" s="134" t="s">
        <v>269</v>
      </c>
    </row>
    <row r="25" spans="1:7" x14ac:dyDescent="0.25">
      <c r="A25" t="s">
        <v>159</v>
      </c>
      <c r="B25" s="134" t="s">
        <v>283</v>
      </c>
      <c r="C25" s="135">
        <f>18430.86/I2</f>
        <v>2446.1999999999998</v>
      </c>
      <c r="D25" s="135">
        <v>3351.17</v>
      </c>
      <c r="E25" s="135">
        <v>2770.92</v>
      </c>
      <c r="F25" s="136">
        <f t="shared" si="0"/>
        <v>113.27</v>
      </c>
      <c r="G25" s="134" t="s">
        <v>269</v>
      </c>
    </row>
    <row r="26" spans="1:7" x14ac:dyDescent="0.25">
      <c r="A26" t="s">
        <v>174</v>
      </c>
      <c r="B26" s="134" t="s">
        <v>284</v>
      </c>
      <c r="C26" s="135">
        <f>32364.17/I2</f>
        <v>4295.46</v>
      </c>
      <c r="D26" s="135">
        <v>1575.05</v>
      </c>
      <c r="E26" s="135">
        <v>3122.56</v>
      </c>
      <c r="F26" s="136">
        <f t="shared" si="0"/>
        <v>72.69</v>
      </c>
      <c r="G26" s="134" t="s">
        <v>269</v>
      </c>
    </row>
    <row r="27" spans="1:7" x14ac:dyDescent="0.25">
      <c r="A27" t="s">
        <v>191</v>
      </c>
      <c r="B27" s="134" t="s">
        <v>285</v>
      </c>
      <c r="C27" s="135">
        <f>1656.9/I2</f>
        <v>219.91</v>
      </c>
      <c r="D27" s="135">
        <v>357.69</v>
      </c>
      <c r="E27" s="135">
        <v>88.07</v>
      </c>
      <c r="G27" s="134" t="s">
        <v>269</v>
      </c>
    </row>
    <row r="28" spans="1:7" s="125" customFormat="1" x14ac:dyDescent="0.25">
      <c r="A28" s="130" t="s">
        <v>193</v>
      </c>
      <c r="B28" s="131" t="s">
        <v>286</v>
      </c>
      <c r="C28" s="132">
        <f>SUM(C29:C37)</f>
        <v>83653.59</v>
      </c>
      <c r="D28" s="132">
        <f>SUM(D29:D37)</f>
        <v>63863.27</v>
      </c>
      <c r="E28" s="132">
        <f>SUM(E29:E37)</f>
        <v>60523.16</v>
      </c>
      <c r="F28" s="133">
        <f t="shared" si="0"/>
        <v>72.349999999999994</v>
      </c>
      <c r="G28" s="133">
        <f>E28/D28*100</f>
        <v>94.77</v>
      </c>
    </row>
    <row r="29" spans="1:7" x14ac:dyDescent="0.25">
      <c r="A29" t="s">
        <v>194</v>
      </c>
      <c r="B29" s="134" t="s">
        <v>287</v>
      </c>
      <c r="C29" s="135">
        <f>105597.18/I2</f>
        <v>14015.15</v>
      </c>
      <c r="D29" s="135">
        <v>14325.05</v>
      </c>
      <c r="E29" s="135">
        <v>11382.4</v>
      </c>
      <c r="F29" s="136">
        <f t="shared" si="0"/>
        <v>81.209999999999994</v>
      </c>
      <c r="G29" s="134" t="s">
        <v>269</v>
      </c>
    </row>
    <row r="30" spans="1:7" x14ac:dyDescent="0.25">
      <c r="A30" t="s">
        <v>160</v>
      </c>
      <c r="B30" s="134" t="s">
        <v>288</v>
      </c>
      <c r="C30" s="135">
        <f>416804.84/I2</f>
        <v>55319.51</v>
      </c>
      <c r="D30" s="135">
        <v>35949.480000000003</v>
      </c>
      <c r="E30" s="135">
        <v>34505.040000000001</v>
      </c>
      <c r="F30" s="136">
        <f t="shared" si="0"/>
        <v>62.37</v>
      </c>
      <c r="G30" s="134" t="s">
        <v>269</v>
      </c>
    </row>
    <row r="31" spans="1:7" x14ac:dyDescent="0.25">
      <c r="A31" t="s">
        <v>200</v>
      </c>
      <c r="B31" s="134" t="s">
        <v>289</v>
      </c>
      <c r="C31" s="135">
        <f>3.06/I2</f>
        <v>0.41</v>
      </c>
      <c r="D31" s="135">
        <v>23.27</v>
      </c>
      <c r="E31" s="135">
        <v>650.54</v>
      </c>
      <c r="F31" s="136">
        <v>0</v>
      </c>
      <c r="G31" s="134" t="s">
        <v>269</v>
      </c>
    </row>
    <row r="32" spans="1:7" x14ac:dyDescent="0.25">
      <c r="A32" t="s">
        <v>195</v>
      </c>
      <c r="B32" s="134" t="s">
        <v>290</v>
      </c>
      <c r="C32" s="135">
        <f>30629.86/I2</f>
        <v>4065.28</v>
      </c>
      <c r="D32" s="135">
        <v>3716.24</v>
      </c>
      <c r="E32" s="135">
        <v>3580.74</v>
      </c>
      <c r="F32" s="136">
        <f t="shared" si="0"/>
        <v>88.08</v>
      </c>
      <c r="G32" s="134" t="s">
        <v>269</v>
      </c>
    </row>
    <row r="33" spans="1:7" x14ac:dyDescent="0.25">
      <c r="A33" t="s">
        <v>201</v>
      </c>
      <c r="B33" s="134" t="s">
        <v>291</v>
      </c>
      <c r="C33" s="135">
        <f>7682.69/I2</f>
        <v>1019.67</v>
      </c>
      <c r="D33" s="135">
        <v>558.72</v>
      </c>
      <c r="E33" s="135">
        <v>3487.11</v>
      </c>
      <c r="F33" s="136">
        <f t="shared" si="0"/>
        <v>341.98</v>
      </c>
      <c r="G33" s="134" t="s">
        <v>269</v>
      </c>
    </row>
    <row r="34" spans="1:7" x14ac:dyDescent="0.25">
      <c r="A34" t="s">
        <v>168</v>
      </c>
      <c r="B34" s="134" t="s">
        <v>292</v>
      </c>
      <c r="C34" s="135">
        <f>25000.66/I2</f>
        <v>3318.16</v>
      </c>
      <c r="D34" s="135">
        <v>3365.44</v>
      </c>
      <c r="E34" s="135">
        <v>3206.4</v>
      </c>
      <c r="F34" s="136">
        <f t="shared" si="0"/>
        <v>96.63</v>
      </c>
      <c r="G34" s="134" t="s">
        <v>269</v>
      </c>
    </row>
    <row r="35" spans="1:7" x14ac:dyDescent="0.25">
      <c r="A35" t="s">
        <v>196</v>
      </c>
      <c r="B35" s="134" t="s">
        <v>293</v>
      </c>
      <c r="C35" s="135">
        <f>17719.33/I2</f>
        <v>2351.7600000000002</v>
      </c>
      <c r="D35" s="135">
        <v>992.24</v>
      </c>
      <c r="E35" s="135">
        <v>994.59</v>
      </c>
      <c r="F35" s="136">
        <f t="shared" si="0"/>
        <v>42.29</v>
      </c>
      <c r="G35" s="134" t="s">
        <v>269</v>
      </c>
    </row>
    <row r="36" spans="1:7" x14ac:dyDescent="0.25">
      <c r="A36" t="s">
        <v>158</v>
      </c>
      <c r="B36" s="134" t="s">
        <v>294</v>
      </c>
      <c r="C36" s="135">
        <f>12350/I2</f>
        <v>1639.13</v>
      </c>
      <c r="D36" s="135">
        <v>2350</v>
      </c>
      <c r="E36" s="135">
        <v>2466.33</v>
      </c>
      <c r="F36" s="136">
        <f t="shared" si="0"/>
        <v>150.47</v>
      </c>
      <c r="G36" s="134" t="s">
        <v>269</v>
      </c>
    </row>
    <row r="37" spans="1:7" x14ac:dyDescent="0.25">
      <c r="A37" t="s">
        <v>197</v>
      </c>
      <c r="B37" s="134" t="s">
        <v>295</v>
      </c>
      <c r="C37" s="135">
        <f>14500.3/I2</f>
        <v>1924.52</v>
      </c>
      <c r="D37" s="135">
        <v>2582.83</v>
      </c>
      <c r="E37" s="135">
        <v>250.01</v>
      </c>
      <c r="F37" s="136">
        <f t="shared" si="0"/>
        <v>12.99</v>
      </c>
      <c r="G37" s="134" t="s">
        <v>269</v>
      </c>
    </row>
    <row r="38" spans="1:7" s="125" customFormat="1" x14ac:dyDescent="0.25">
      <c r="A38" s="130" t="s">
        <v>184</v>
      </c>
      <c r="B38" s="131" t="s">
        <v>296</v>
      </c>
      <c r="C38" s="132">
        <f>SUM(C39:C45)</f>
        <v>15678.49</v>
      </c>
      <c r="D38" s="132">
        <f>SUM(D39:D45)</f>
        <v>9894.56</v>
      </c>
      <c r="E38" s="132">
        <f>SUM(E39:E45)</f>
        <v>12773.09</v>
      </c>
      <c r="F38" s="133">
        <f t="shared" si="0"/>
        <v>81.47</v>
      </c>
      <c r="G38" s="133">
        <f>E38/D38*100</f>
        <v>129.09</v>
      </c>
    </row>
    <row r="39" spans="1:7" x14ac:dyDescent="0.25">
      <c r="A39" s="137">
        <v>3291</v>
      </c>
      <c r="B39" s="134" t="s">
        <v>297</v>
      </c>
      <c r="C39" s="135">
        <v>0</v>
      </c>
      <c r="D39" s="135">
        <v>0</v>
      </c>
      <c r="E39" s="135">
        <v>0</v>
      </c>
      <c r="F39" s="136">
        <v>0</v>
      </c>
      <c r="G39" s="134" t="s">
        <v>269</v>
      </c>
    </row>
    <row r="40" spans="1:7" x14ac:dyDescent="0.25">
      <c r="A40" t="s">
        <v>166</v>
      </c>
      <c r="B40" s="134" t="s">
        <v>298</v>
      </c>
      <c r="C40" s="135">
        <f>13650/I2</f>
        <v>1811.67</v>
      </c>
      <c r="D40" s="135">
        <v>1844.85</v>
      </c>
      <c r="E40" s="135">
        <v>1724</v>
      </c>
      <c r="G40" s="134" t="s">
        <v>269</v>
      </c>
    </row>
    <row r="41" spans="1:7" x14ac:dyDescent="0.25">
      <c r="A41" t="s">
        <v>150</v>
      </c>
      <c r="B41" s="134" t="s">
        <v>299</v>
      </c>
      <c r="C41" s="135">
        <f>6192.02/I2</f>
        <v>821.82</v>
      </c>
      <c r="D41" s="135">
        <v>809.61</v>
      </c>
      <c r="E41" s="135">
        <v>272.20999999999998</v>
      </c>
      <c r="F41" s="136">
        <f t="shared" si="0"/>
        <v>33.119999999999997</v>
      </c>
      <c r="G41" s="134" t="s">
        <v>269</v>
      </c>
    </row>
    <row r="42" spans="1:7" x14ac:dyDescent="0.25">
      <c r="A42" s="137">
        <v>3294</v>
      </c>
      <c r="B42" s="134" t="s">
        <v>300</v>
      </c>
      <c r="C42" s="135">
        <v>159.26</v>
      </c>
      <c r="D42" s="135">
        <v>152.63</v>
      </c>
      <c r="E42" s="135">
        <v>163.09</v>
      </c>
      <c r="F42" s="136">
        <f t="shared" si="0"/>
        <v>102.4</v>
      </c>
      <c r="G42" s="134" t="s">
        <v>269</v>
      </c>
    </row>
    <row r="43" spans="1:7" x14ac:dyDescent="0.25">
      <c r="A43" t="s">
        <v>170</v>
      </c>
      <c r="B43" s="134" t="s">
        <v>301</v>
      </c>
      <c r="C43" s="135">
        <f>20450/I2</f>
        <v>2714.18</v>
      </c>
      <c r="D43" s="135">
        <v>3095.76</v>
      </c>
      <c r="E43" s="135">
        <v>3680.71</v>
      </c>
      <c r="F43" s="136">
        <f t="shared" si="0"/>
        <v>135.61000000000001</v>
      </c>
      <c r="G43" s="134" t="s">
        <v>269</v>
      </c>
    </row>
    <row r="44" spans="1:7" x14ac:dyDescent="0.25">
      <c r="A44" t="s">
        <v>171</v>
      </c>
      <c r="B44" s="134" t="s">
        <v>302</v>
      </c>
      <c r="C44" s="135">
        <f>37163.22/I2</f>
        <v>4932.41</v>
      </c>
      <c r="D44" s="135">
        <v>530.89</v>
      </c>
      <c r="E44" s="135">
        <v>461.22</v>
      </c>
      <c r="F44" s="136">
        <f t="shared" si="0"/>
        <v>9.35</v>
      </c>
      <c r="G44" s="134" t="s">
        <v>269</v>
      </c>
    </row>
    <row r="45" spans="1:7" x14ac:dyDescent="0.25">
      <c r="A45" t="s">
        <v>152</v>
      </c>
      <c r="B45" s="134" t="s">
        <v>296</v>
      </c>
      <c r="C45" s="135">
        <f>39474.39/I2</f>
        <v>5239.1499999999996</v>
      </c>
      <c r="D45" s="135">
        <v>3460.82</v>
      </c>
      <c r="E45" s="135">
        <v>6471.86</v>
      </c>
      <c r="F45" s="136">
        <f t="shared" si="0"/>
        <v>123.53</v>
      </c>
      <c r="G45" s="134" t="s">
        <v>269</v>
      </c>
    </row>
    <row r="46" spans="1:7" s="125" customFormat="1" x14ac:dyDescent="0.25">
      <c r="A46" s="126" t="s">
        <v>198</v>
      </c>
      <c r="B46" s="127" t="s">
        <v>88</v>
      </c>
      <c r="C46" s="128">
        <f>C47</f>
        <v>4602.04</v>
      </c>
      <c r="D46" s="128">
        <f>D47</f>
        <v>1321.99</v>
      </c>
      <c r="E46" s="128">
        <f>E47</f>
        <v>1286.56</v>
      </c>
      <c r="F46" s="129">
        <f t="shared" si="0"/>
        <v>27.96</v>
      </c>
      <c r="G46" s="129">
        <f>E46/D46*100</f>
        <v>97.32</v>
      </c>
    </row>
    <row r="47" spans="1:7" s="125" customFormat="1" x14ac:dyDescent="0.25">
      <c r="A47" s="130" t="s">
        <v>199</v>
      </c>
      <c r="B47" s="131" t="s">
        <v>303</v>
      </c>
      <c r="C47" s="132">
        <f>SUM(C48:C49)</f>
        <v>4602.04</v>
      </c>
      <c r="D47" s="132">
        <f>SUM(D48:D49)</f>
        <v>1321.99</v>
      </c>
      <c r="E47" s="132">
        <f>SUM(E48:E49)</f>
        <v>1286.56</v>
      </c>
      <c r="F47" s="133">
        <f t="shared" si="0"/>
        <v>27.96</v>
      </c>
      <c r="G47" s="133">
        <f>E47/D47*100</f>
        <v>97.32</v>
      </c>
    </row>
    <row r="48" spans="1:7" x14ac:dyDescent="0.25">
      <c r="A48" t="s">
        <v>149</v>
      </c>
      <c r="B48" s="134" t="s">
        <v>304</v>
      </c>
      <c r="C48" s="135">
        <f>7872.82/I2</f>
        <v>1044.9000000000001</v>
      </c>
      <c r="D48" s="135">
        <v>1149.45</v>
      </c>
      <c r="E48" s="135">
        <v>929.72</v>
      </c>
      <c r="F48" s="136">
        <f>E48/C48*100</f>
        <v>88.98</v>
      </c>
      <c r="G48" s="134" t="s">
        <v>269</v>
      </c>
    </row>
    <row r="49" spans="1:9" x14ac:dyDescent="0.25">
      <c r="A49" t="s">
        <v>161</v>
      </c>
      <c r="B49" s="134" t="s">
        <v>305</v>
      </c>
      <c r="C49" s="135">
        <f>26801.24/I2</f>
        <v>3557.14</v>
      </c>
      <c r="D49" s="135">
        <v>172.54</v>
      </c>
      <c r="E49" s="135">
        <v>356.84</v>
      </c>
      <c r="F49" s="136">
        <f t="shared" si="0"/>
        <v>10.029999999999999</v>
      </c>
      <c r="G49" s="134" t="s">
        <v>269</v>
      </c>
    </row>
    <row r="50" spans="1:9" s="125" customFormat="1" x14ac:dyDescent="0.25">
      <c r="A50" s="126" t="s">
        <v>202</v>
      </c>
      <c r="B50" s="127" t="s">
        <v>306</v>
      </c>
      <c r="C50" s="128">
        <f>C51</f>
        <v>3098.03</v>
      </c>
      <c r="D50" s="128">
        <f>D51</f>
        <v>2156.25</v>
      </c>
      <c r="E50" s="128">
        <f>E51</f>
        <v>1799.39</v>
      </c>
      <c r="F50" s="129">
        <v>0</v>
      </c>
      <c r="G50" s="129">
        <f>E50/D50*100</f>
        <v>83.45</v>
      </c>
    </row>
    <row r="51" spans="1:9" s="125" customFormat="1" x14ac:dyDescent="0.25">
      <c r="A51" s="130" t="s">
        <v>203</v>
      </c>
      <c r="B51" s="131" t="s">
        <v>307</v>
      </c>
      <c r="C51" s="132">
        <f>SUM(C52)</f>
        <v>3098.03</v>
      </c>
      <c r="D51" s="132">
        <f>SUM(D52)</f>
        <v>2156.25</v>
      </c>
      <c r="E51" s="132">
        <f>SUM(E52)</f>
        <v>1799.39</v>
      </c>
      <c r="F51" s="133">
        <v>0</v>
      </c>
      <c r="G51" s="133">
        <f>E51/D51*100</f>
        <v>83.45</v>
      </c>
    </row>
    <row r="52" spans="1:9" x14ac:dyDescent="0.25">
      <c r="A52" t="s">
        <v>204</v>
      </c>
      <c r="B52" s="134" t="s">
        <v>308</v>
      </c>
      <c r="C52" s="135">
        <f>23342.11/I2</f>
        <v>3098.03</v>
      </c>
      <c r="D52" s="135">
        <v>2156.25</v>
      </c>
      <c r="E52" s="135">
        <v>1799.39</v>
      </c>
      <c r="F52" s="136">
        <v>0</v>
      </c>
      <c r="G52" s="134" t="s">
        <v>269</v>
      </c>
    </row>
    <row r="53" spans="1:9" s="125" customFormat="1" x14ac:dyDescent="0.25">
      <c r="A53" s="138">
        <v>38</v>
      </c>
      <c r="B53" s="127" t="s">
        <v>221</v>
      </c>
      <c r="C53" s="128">
        <f>C54</f>
        <v>0</v>
      </c>
      <c r="D53" s="128">
        <f>D54</f>
        <v>0</v>
      </c>
      <c r="E53" s="128">
        <f>E54</f>
        <v>1302.77</v>
      </c>
      <c r="F53" s="129"/>
      <c r="G53" s="129">
        <v>0</v>
      </c>
    </row>
    <row r="54" spans="1:9" s="125" customFormat="1" x14ac:dyDescent="0.25">
      <c r="A54" s="139">
        <v>381</v>
      </c>
      <c r="B54" s="131" t="s">
        <v>309</v>
      </c>
      <c r="C54" s="132">
        <f>SUM(C55)</f>
        <v>0</v>
      </c>
      <c r="D54" s="132">
        <f>SUM(D55:D56)</f>
        <v>0</v>
      </c>
      <c r="E54" s="132">
        <f>SUM(E55:E56)</f>
        <v>1302.77</v>
      </c>
      <c r="F54" s="133"/>
      <c r="G54" s="133">
        <v>0</v>
      </c>
    </row>
    <row r="55" spans="1:9" x14ac:dyDescent="0.25">
      <c r="A55" s="137">
        <v>3811</v>
      </c>
      <c r="B55" s="134" t="s">
        <v>92</v>
      </c>
      <c r="C55" s="135">
        <v>0</v>
      </c>
      <c r="D55" s="135">
        <v>0</v>
      </c>
      <c r="E55" s="135">
        <v>281</v>
      </c>
      <c r="G55" s="134" t="s">
        <v>269</v>
      </c>
    </row>
    <row r="56" spans="1:9" x14ac:dyDescent="0.25">
      <c r="A56" s="137">
        <v>3812</v>
      </c>
      <c r="B56" s="134" t="s">
        <v>224</v>
      </c>
      <c r="C56" s="135">
        <v>0</v>
      </c>
      <c r="D56" s="135">
        <v>0</v>
      </c>
      <c r="E56" s="135">
        <v>1021.77</v>
      </c>
      <c r="G56" s="134" t="s">
        <v>269</v>
      </c>
    </row>
    <row r="57" spans="1:9" s="125" customFormat="1" x14ac:dyDescent="0.25">
      <c r="A57" s="121" t="s">
        <v>206</v>
      </c>
      <c r="B57" s="122" t="s">
        <v>5</v>
      </c>
      <c r="C57" s="123">
        <f>C58+C68</f>
        <v>90524.46</v>
      </c>
      <c r="D57" s="123">
        <f>D58+D68</f>
        <v>97846.46</v>
      </c>
      <c r="E57" s="123">
        <f>E58+E68</f>
        <v>3260.1</v>
      </c>
      <c r="F57" s="124">
        <f t="shared" ref="F57:F61" si="2">E57/C57*100</f>
        <v>3.6</v>
      </c>
      <c r="G57" s="124">
        <f>E57/D57*100</f>
        <v>3.33</v>
      </c>
      <c r="I57" s="125">
        <f>C57*I2</f>
        <v>682056.54387000005</v>
      </c>
    </row>
    <row r="58" spans="1:9" s="125" customFormat="1" x14ac:dyDescent="0.25">
      <c r="A58" s="126" t="s">
        <v>207</v>
      </c>
      <c r="B58" s="127" t="s">
        <v>310</v>
      </c>
      <c r="C58" s="128">
        <f>C59+C61+C66</f>
        <v>58339.18</v>
      </c>
      <c r="D58" s="128">
        <f>D59+D61+D66</f>
        <v>97846.46</v>
      </c>
      <c r="E58" s="128">
        <f>E59+E61+E66</f>
        <v>3260.1</v>
      </c>
      <c r="F58" s="129">
        <f t="shared" si="2"/>
        <v>5.59</v>
      </c>
      <c r="G58" s="129">
        <f>E58/D58*100</f>
        <v>3.33</v>
      </c>
    </row>
    <row r="59" spans="1:9" s="125" customFormat="1" x14ac:dyDescent="0.25">
      <c r="A59" s="130" t="s">
        <v>209</v>
      </c>
      <c r="B59" s="131" t="s">
        <v>311</v>
      </c>
      <c r="C59" s="132">
        <f>SUM(C60)</f>
        <v>29858.48</v>
      </c>
      <c r="D59" s="132">
        <f>SUM(D60)</f>
        <v>91065</v>
      </c>
      <c r="E59" s="132">
        <f>SUM(E60)</f>
        <v>0</v>
      </c>
      <c r="F59" s="133">
        <v>0</v>
      </c>
      <c r="G59" s="133"/>
    </row>
    <row r="60" spans="1:9" x14ac:dyDescent="0.25">
      <c r="A60" t="s">
        <v>210</v>
      </c>
      <c r="B60" s="134" t="s">
        <v>312</v>
      </c>
      <c r="C60" s="135">
        <f>224968.75/I2</f>
        <v>29858.48</v>
      </c>
      <c r="D60" s="135">
        <v>91065</v>
      </c>
      <c r="E60" s="135">
        <v>0</v>
      </c>
      <c r="F60" s="136">
        <v>0</v>
      </c>
      <c r="G60" s="134" t="s">
        <v>269</v>
      </c>
    </row>
    <row r="61" spans="1:9" s="125" customFormat="1" x14ac:dyDescent="0.25">
      <c r="A61" s="130" t="s">
        <v>218</v>
      </c>
      <c r="B61" s="131" t="s">
        <v>313</v>
      </c>
      <c r="C61" s="132">
        <f>SUM(C62:C65)</f>
        <v>25967.34</v>
      </c>
      <c r="D61" s="132">
        <f>SUM(D62:D65)</f>
        <v>4675.7</v>
      </c>
      <c r="E61" s="132">
        <f>SUM(E62:E65)</f>
        <v>53.22</v>
      </c>
      <c r="F61" s="133">
        <f t="shared" si="2"/>
        <v>0.2</v>
      </c>
      <c r="G61" s="133">
        <f>E61/D61*100</f>
        <v>1.1399999999999999</v>
      </c>
    </row>
    <row r="62" spans="1:9" x14ac:dyDescent="0.25">
      <c r="A62" t="s">
        <v>162</v>
      </c>
      <c r="B62" s="134" t="s">
        <v>314</v>
      </c>
      <c r="C62" s="135">
        <f>137321.69/I2</f>
        <v>18225.72</v>
      </c>
      <c r="D62" s="135">
        <v>1592.68</v>
      </c>
      <c r="E62" s="135">
        <v>53.22</v>
      </c>
      <c r="G62" s="134" t="s">
        <v>269</v>
      </c>
    </row>
    <row r="63" spans="1:9" x14ac:dyDescent="0.25">
      <c r="A63" s="137">
        <v>4222</v>
      </c>
      <c r="C63" s="135">
        <v>0</v>
      </c>
      <c r="D63" s="135">
        <v>0</v>
      </c>
      <c r="E63" s="135">
        <v>0</v>
      </c>
      <c r="F63" s="136">
        <v>0</v>
      </c>
      <c r="G63" s="134" t="s">
        <v>269</v>
      </c>
    </row>
    <row r="64" spans="1:9" x14ac:dyDescent="0.25">
      <c r="A64" s="137">
        <v>4223</v>
      </c>
      <c r="B64" s="134" t="s">
        <v>365</v>
      </c>
      <c r="C64" s="135">
        <v>0</v>
      </c>
      <c r="D64" s="135">
        <v>295.83999999999997</v>
      </c>
      <c r="E64" s="135">
        <v>0</v>
      </c>
      <c r="F64" s="136">
        <v>0</v>
      </c>
      <c r="G64" s="134" t="s">
        <v>269</v>
      </c>
    </row>
    <row r="65" spans="1:7" x14ac:dyDescent="0.25">
      <c r="A65" t="s">
        <v>164</v>
      </c>
      <c r="B65" s="134" t="s">
        <v>315</v>
      </c>
      <c r="C65" s="135">
        <f>58329.22/I2</f>
        <v>7741.62</v>
      </c>
      <c r="D65" s="135">
        <v>2787.18</v>
      </c>
      <c r="E65" s="135">
        <v>0</v>
      </c>
      <c r="G65" s="134" t="s">
        <v>269</v>
      </c>
    </row>
    <row r="66" spans="1:7" s="125" customFormat="1" x14ac:dyDescent="0.25">
      <c r="A66" s="130" t="s">
        <v>219</v>
      </c>
      <c r="B66" s="131" t="s">
        <v>316</v>
      </c>
      <c r="C66" s="132">
        <f>SUM(C67)</f>
        <v>2513.36</v>
      </c>
      <c r="D66" s="132">
        <f>SUM(D67)</f>
        <v>2105.7600000000002</v>
      </c>
      <c r="E66" s="132">
        <f>SUM(E67)</f>
        <v>3206.88</v>
      </c>
      <c r="F66" s="133"/>
      <c r="G66" s="133">
        <f>E66/D66*100</f>
        <v>152.29</v>
      </c>
    </row>
    <row r="67" spans="1:7" x14ac:dyDescent="0.25">
      <c r="A67" t="s">
        <v>165</v>
      </c>
      <c r="B67" s="134" t="s">
        <v>317</v>
      </c>
      <c r="C67" s="135">
        <f>18936.9/I2</f>
        <v>2513.36</v>
      </c>
      <c r="D67" s="135">
        <v>2105.7600000000002</v>
      </c>
      <c r="E67" s="135">
        <v>3206.88</v>
      </c>
      <c r="G67" s="134" t="s">
        <v>269</v>
      </c>
    </row>
    <row r="68" spans="1:7" s="125" customFormat="1" x14ac:dyDescent="0.25">
      <c r="A68" s="126" t="s">
        <v>211</v>
      </c>
      <c r="B68" s="127" t="s">
        <v>318</v>
      </c>
      <c r="C68" s="128">
        <f>C69</f>
        <v>32185.279999999999</v>
      </c>
      <c r="D68" s="128">
        <f>D69</f>
        <v>0</v>
      </c>
      <c r="E68" s="128">
        <f>E69</f>
        <v>0</v>
      </c>
      <c r="F68" s="129"/>
      <c r="G68" s="129">
        <v>0</v>
      </c>
    </row>
    <row r="69" spans="1:7" s="125" customFormat="1" x14ac:dyDescent="0.25">
      <c r="A69" s="130" t="s">
        <v>212</v>
      </c>
      <c r="B69" s="131" t="s">
        <v>319</v>
      </c>
      <c r="C69" s="132">
        <f>SUM(C70)</f>
        <v>32185.279999999999</v>
      </c>
      <c r="D69" s="132">
        <f>SUM(D70)</f>
        <v>0</v>
      </c>
      <c r="E69" s="132">
        <f>SUM(E70)</f>
        <v>0</v>
      </c>
      <c r="F69" s="133"/>
      <c r="G69" s="133"/>
    </row>
    <row r="70" spans="1:7" x14ac:dyDescent="0.25">
      <c r="A70" t="s">
        <v>214</v>
      </c>
      <c r="B70" s="134" t="s">
        <v>319</v>
      </c>
      <c r="C70" s="135">
        <f>242500/I2</f>
        <v>32185.279999999999</v>
      </c>
      <c r="D70" s="135">
        <v>0</v>
      </c>
      <c r="E70" s="135">
        <v>0</v>
      </c>
      <c r="G70" s="134" t="s">
        <v>269</v>
      </c>
    </row>
    <row r="72" spans="1:7" x14ac:dyDescent="0.25">
      <c r="A72" t="s">
        <v>236</v>
      </c>
      <c r="C72" s="47" t="s">
        <v>237</v>
      </c>
      <c r="E72" t="s">
        <v>238</v>
      </c>
    </row>
    <row r="73" spans="1:7" x14ac:dyDescent="0.25">
      <c r="A73" t="s">
        <v>406</v>
      </c>
      <c r="C73" t="s">
        <v>407</v>
      </c>
      <c r="E73" t="s">
        <v>408</v>
      </c>
    </row>
    <row r="74" spans="1:7" x14ac:dyDescent="0.25">
      <c r="A74" t="s">
        <v>405</v>
      </c>
    </row>
  </sheetData>
  <mergeCells count="2">
    <mergeCell ref="A1:G1"/>
    <mergeCell ref="A2:G2"/>
  </mergeCells>
  <pageMargins left="0.7" right="0.7" top="0.75" bottom="0.75" header="0.3" footer="0.3"/>
  <pageSetup paperSize="9" scale="67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topLeftCell="A22" zoomScaleNormal="100" zoomScaleSheetLayoutView="100" workbookViewId="0">
      <selection activeCell="A45" sqref="A45:XFD45"/>
    </sheetView>
  </sheetViews>
  <sheetFormatPr defaultRowHeight="15" x14ac:dyDescent="0.25"/>
  <cols>
    <col min="1" max="1" width="5.42578125" bestFit="1" customWidth="1"/>
    <col min="2" max="2" width="27.28515625" customWidth="1"/>
    <col min="3" max="3" width="16.5703125" customWidth="1"/>
    <col min="4" max="4" width="15.7109375" customWidth="1"/>
    <col min="5" max="5" width="16.85546875" style="47" customWidth="1"/>
    <col min="6" max="6" width="13.140625" style="47" customWidth="1"/>
    <col min="7" max="7" width="12.85546875" style="47" customWidth="1"/>
    <col min="8" max="8" width="11.7109375" bestFit="1" customWidth="1"/>
    <col min="9" max="9" width="11.7109375" hidden="1" customWidth="1"/>
    <col min="10" max="10" width="10.85546875" hidden="1" customWidth="1"/>
    <col min="11" max="11" width="11.7109375" hidden="1" customWidth="1"/>
    <col min="12" max="12" width="0" hidden="1" customWidth="1"/>
    <col min="13" max="13" width="11.140625" hidden="1" customWidth="1"/>
    <col min="14" max="14" width="0" hidden="1" customWidth="1"/>
    <col min="15" max="15" width="11.140625" hidden="1" customWidth="1"/>
    <col min="16" max="16" width="14" customWidth="1"/>
    <col min="17" max="17" width="29" customWidth="1"/>
  </cols>
  <sheetData>
    <row r="1" spans="1:17" x14ac:dyDescent="0.25">
      <c r="A1" s="178" t="s">
        <v>250</v>
      </c>
      <c r="B1" s="178"/>
      <c r="C1" s="178"/>
      <c r="D1" s="178"/>
      <c r="E1" s="178"/>
      <c r="F1" s="178"/>
      <c r="G1" s="178"/>
      <c r="H1" s="90"/>
      <c r="P1">
        <v>7.5345000000000004</v>
      </c>
    </row>
    <row r="2" spans="1:17" ht="18" x14ac:dyDescent="0.25">
      <c r="A2" s="18"/>
      <c r="B2" s="49"/>
      <c r="C2" s="154">
        <v>7.5345000000000004</v>
      </c>
      <c r="D2" s="49"/>
      <c r="E2" s="49"/>
      <c r="F2" s="50"/>
      <c r="G2" s="50"/>
      <c r="I2" t="s">
        <v>146</v>
      </c>
      <c r="K2" t="s">
        <v>147</v>
      </c>
      <c r="M2" t="s">
        <v>234</v>
      </c>
    </row>
    <row r="3" spans="1:17" ht="27.75" customHeight="1" x14ac:dyDescent="0.25">
      <c r="A3" s="179" t="s">
        <v>251</v>
      </c>
      <c r="B3" s="180"/>
      <c r="C3" s="13" t="s">
        <v>395</v>
      </c>
      <c r="D3" s="14" t="s">
        <v>259</v>
      </c>
      <c r="E3" s="51" t="s">
        <v>396</v>
      </c>
      <c r="F3" s="51" t="s">
        <v>252</v>
      </c>
      <c r="G3" s="51" t="s">
        <v>253</v>
      </c>
    </row>
    <row r="4" spans="1:17" x14ac:dyDescent="0.25">
      <c r="A4" s="181">
        <v>1</v>
      </c>
      <c r="B4" s="182"/>
      <c r="C4" s="91">
        <v>2</v>
      </c>
      <c r="D4" s="91">
        <v>3</v>
      </c>
      <c r="E4" s="91">
        <v>4</v>
      </c>
      <c r="F4" s="91">
        <v>5</v>
      </c>
      <c r="G4" s="91">
        <v>6</v>
      </c>
    </row>
    <row r="5" spans="1:17" x14ac:dyDescent="0.25">
      <c r="A5" s="92" t="s">
        <v>145</v>
      </c>
      <c r="B5" s="93" t="s">
        <v>129</v>
      </c>
      <c r="C5" s="94"/>
      <c r="D5" s="94"/>
      <c r="E5" s="94"/>
      <c r="F5" s="94"/>
      <c r="G5" s="94"/>
    </row>
    <row r="6" spans="1:17" s="59" customFormat="1" ht="15.75" customHeight="1" x14ac:dyDescent="0.25">
      <c r="A6" s="95"/>
      <c r="B6" s="96" t="s">
        <v>14</v>
      </c>
      <c r="C6" s="97">
        <f>18312.25/C2</f>
        <v>2430.4499999999998</v>
      </c>
      <c r="D6" s="97">
        <v>2156.25</v>
      </c>
      <c r="E6" s="97">
        <v>2768.88</v>
      </c>
      <c r="F6" s="97">
        <f>E6/C6*100</f>
        <v>113.92</v>
      </c>
      <c r="G6" s="97">
        <f>E6/D6*100</f>
        <v>128.41</v>
      </c>
      <c r="I6" s="86">
        <f>E6+E38</f>
        <v>3068.88</v>
      </c>
      <c r="K6" s="86" t="e">
        <f>#REF!+#REF!</f>
        <v>#REF!</v>
      </c>
      <c r="M6" s="86" t="e">
        <f>K6-I6</f>
        <v>#REF!</v>
      </c>
    </row>
    <row r="7" spans="1:17" s="59" customFormat="1" ht="15.75" customHeight="1" x14ac:dyDescent="0.25">
      <c r="A7" s="95"/>
      <c r="B7" s="96" t="s">
        <v>17</v>
      </c>
      <c r="C7" s="97">
        <f>23342.1/C2</f>
        <v>3098.03</v>
      </c>
      <c r="D7" s="97">
        <v>2156.25</v>
      </c>
      <c r="E7" s="97">
        <v>1799.39</v>
      </c>
      <c r="F7" s="97">
        <f>E7/C7*100</f>
        <v>58.08</v>
      </c>
      <c r="G7" s="97">
        <f>E7/D7*100</f>
        <v>83.45</v>
      </c>
      <c r="I7" s="86"/>
      <c r="P7" s="86"/>
      <c r="Q7" s="86"/>
    </row>
    <row r="8" spans="1:17" s="59" customFormat="1" ht="15.75" customHeight="1" x14ac:dyDescent="0.25">
      <c r="A8" s="95"/>
      <c r="B8" s="96" t="s">
        <v>254</v>
      </c>
      <c r="C8" s="97">
        <f>C6-C7</f>
        <v>-667.58</v>
      </c>
      <c r="D8" s="97">
        <f t="shared" ref="D8:E8" si="0">D6-D7</f>
        <v>0</v>
      </c>
      <c r="E8" s="97">
        <f t="shared" si="0"/>
        <v>969.49</v>
      </c>
      <c r="F8" s="97"/>
      <c r="G8" s="97"/>
      <c r="I8" s="86"/>
    </row>
    <row r="9" spans="1:17" x14ac:dyDescent="0.25">
      <c r="A9" s="92" t="s">
        <v>36</v>
      </c>
      <c r="B9" s="93" t="s">
        <v>15</v>
      </c>
      <c r="C9" s="94"/>
      <c r="D9" s="94"/>
      <c r="E9" s="94"/>
      <c r="F9" s="94"/>
      <c r="G9" s="94"/>
    </row>
    <row r="10" spans="1:17" s="59" customFormat="1" ht="15.75" customHeight="1" x14ac:dyDescent="0.25">
      <c r="A10" s="95"/>
      <c r="B10" s="96" t="s">
        <v>14</v>
      </c>
      <c r="C10" s="97">
        <f>1091906.11/C2</f>
        <v>144920.85</v>
      </c>
      <c r="D10" s="97">
        <v>130906.43</v>
      </c>
      <c r="E10" s="97">
        <f>135422.95-E14-E18-E6</f>
        <v>40979.35</v>
      </c>
      <c r="F10" s="97">
        <f>E10/C10*100</f>
        <v>28.28</v>
      </c>
      <c r="G10" s="97">
        <f t="shared" ref="G10:G11" si="1">E10/D10*100</f>
        <v>31.3</v>
      </c>
      <c r="I10" s="86" t="e">
        <f>E10+#REF!</f>
        <v>#REF!</v>
      </c>
      <c r="K10" s="86" t="e">
        <f>#REF!+#REF!</f>
        <v>#REF!</v>
      </c>
      <c r="M10" s="86" t="e">
        <f>K10-I10</f>
        <v>#REF!</v>
      </c>
    </row>
    <row r="11" spans="1:17" s="59" customFormat="1" ht="15.75" customHeight="1" x14ac:dyDescent="0.25">
      <c r="A11" s="95"/>
      <c r="B11" s="96" t="s">
        <v>17</v>
      </c>
      <c r="C11" s="97">
        <f>1068239.46/C2</f>
        <v>141779.74</v>
      </c>
      <c r="D11" s="97">
        <v>130906.43</v>
      </c>
      <c r="E11" s="97">
        <v>43687.01</v>
      </c>
      <c r="F11" s="97">
        <f>E11/C11*100</f>
        <v>30.81</v>
      </c>
      <c r="G11" s="97">
        <f t="shared" si="1"/>
        <v>33.369999999999997</v>
      </c>
      <c r="I11" s="86"/>
    </row>
    <row r="12" spans="1:17" s="59" customFormat="1" ht="15.75" customHeight="1" x14ac:dyDescent="0.25">
      <c r="A12" s="95"/>
      <c r="B12" s="96" t="s">
        <v>254</v>
      </c>
      <c r="C12" s="97">
        <f>C10-C11</f>
        <v>3141.11</v>
      </c>
      <c r="D12" s="97">
        <f t="shared" ref="D12:E12" si="2">D10-D11</f>
        <v>0</v>
      </c>
      <c r="E12" s="97">
        <f t="shared" si="2"/>
        <v>-2707.66</v>
      </c>
      <c r="F12" s="97"/>
      <c r="G12" s="97"/>
      <c r="I12" s="86"/>
    </row>
    <row r="13" spans="1:17" s="99" customFormat="1" x14ac:dyDescent="0.25">
      <c r="A13" s="92" t="s">
        <v>141</v>
      </c>
      <c r="B13" s="93" t="s">
        <v>142</v>
      </c>
      <c r="C13" s="98"/>
      <c r="D13" s="94"/>
      <c r="E13" s="94"/>
      <c r="F13" s="94"/>
      <c r="G13" s="94"/>
      <c r="I13" s="100"/>
    </row>
    <row r="14" spans="1:17" s="101" customFormat="1" ht="15.75" customHeight="1" x14ac:dyDescent="0.25">
      <c r="A14" s="95"/>
      <c r="B14" s="96" t="s">
        <v>14</v>
      </c>
      <c r="C14" s="97">
        <f>384223.9/C2</f>
        <v>50995.28</v>
      </c>
      <c r="D14" s="97">
        <v>47795</v>
      </c>
      <c r="E14" s="97">
        <v>47694.720000000001</v>
      </c>
      <c r="F14" s="97">
        <f>E14/C14*100</f>
        <v>93.53</v>
      </c>
      <c r="G14" s="97">
        <f>E14/D14*100</f>
        <v>99.79</v>
      </c>
      <c r="I14" s="102"/>
      <c r="K14" s="102"/>
      <c r="M14" s="102"/>
    </row>
    <row r="15" spans="1:17" s="101" customFormat="1" ht="15.75" customHeight="1" x14ac:dyDescent="0.25">
      <c r="A15" s="95"/>
      <c r="B15" s="96" t="s">
        <v>17</v>
      </c>
      <c r="C15" s="97">
        <f>C14</f>
        <v>50995.28</v>
      </c>
      <c r="D15" s="97">
        <v>47795</v>
      </c>
      <c r="E15" s="97">
        <v>47694.720000000001</v>
      </c>
      <c r="F15" s="97">
        <f>E15/C15*100</f>
        <v>93.53</v>
      </c>
      <c r="G15" s="97">
        <f>E15/D15*100</f>
        <v>99.79</v>
      </c>
      <c r="I15" s="102"/>
    </row>
    <row r="16" spans="1:17" s="101" customFormat="1" ht="15.75" customHeight="1" x14ac:dyDescent="0.25">
      <c r="A16" s="95"/>
      <c r="B16" s="96" t="s">
        <v>254</v>
      </c>
      <c r="C16" s="97">
        <f>C14-C15</f>
        <v>0</v>
      </c>
      <c r="D16" s="97">
        <f t="shared" ref="D16:E16" si="3">D14-D15</f>
        <v>0</v>
      </c>
      <c r="E16" s="97">
        <f t="shared" si="3"/>
        <v>0</v>
      </c>
      <c r="F16" s="97"/>
      <c r="G16" s="97"/>
      <c r="H16" s="47"/>
      <c r="I16" s="102"/>
    </row>
    <row r="17" spans="1:13" ht="25.5" x14ac:dyDescent="0.25">
      <c r="A17" s="92" t="s">
        <v>217</v>
      </c>
      <c r="B17" s="93" t="s">
        <v>121</v>
      </c>
      <c r="C17" s="94"/>
      <c r="D17" s="94"/>
      <c r="E17" s="94"/>
      <c r="F17" s="94"/>
      <c r="G17" s="94"/>
      <c r="H17" s="47"/>
    </row>
    <row r="18" spans="1:13" s="59" customFormat="1" ht="15.75" customHeight="1" x14ac:dyDescent="0.25">
      <c r="A18" s="95"/>
      <c r="B18" s="96" t="s">
        <v>14</v>
      </c>
      <c r="C18" s="97">
        <f>242860.62/C2</f>
        <v>32233.14</v>
      </c>
      <c r="D18" s="97">
        <v>48120.86</v>
      </c>
      <c r="E18" s="97">
        <v>43980</v>
      </c>
      <c r="F18" s="97">
        <f>E18/C18*100</f>
        <v>136.44</v>
      </c>
      <c r="G18" s="97">
        <f t="shared" ref="G18:G19" si="4">E18/D18*100</f>
        <v>91.39</v>
      </c>
      <c r="H18" s="47"/>
      <c r="I18" s="86"/>
      <c r="K18" s="86"/>
      <c r="M18" s="86"/>
    </row>
    <row r="19" spans="1:13" s="59" customFormat="1" ht="15.75" customHeight="1" x14ac:dyDescent="0.25">
      <c r="A19" s="95"/>
      <c r="B19" s="96" t="s">
        <v>17</v>
      </c>
      <c r="C19" s="97">
        <f>C18</f>
        <v>32233.14</v>
      </c>
      <c r="D19" s="97">
        <v>48120.86</v>
      </c>
      <c r="E19" s="97">
        <v>43980</v>
      </c>
      <c r="F19" s="97">
        <f>E19/C19*100</f>
        <v>136.44</v>
      </c>
      <c r="G19" s="97">
        <f t="shared" si="4"/>
        <v>91.39</v>
      </c>
      <c r="I19" s="86"/>
    </row>
    <row r="20" spans="1:13" s="59" customFormat="1" ht="15.75" customHeight="1" x14ac:dyDescent="0.25">
      <c r="A20" s="95"/>
      <c r="B20" s="96" t="s">
        <v>254</v>
      </c>
      <c r="C20" s="97">
        <f>C18-C19</f>
        <v>0</v>
      </c>
      <c r="D20" s="97">
        <f t="shared" ref="D20:E20" si="5">D18-D19</f>
        <v>0</v>
      </c>
      <c r="E20" s="97">
        <f t="shared" si="5"/>
        <v>0</v>
      </c>
      <c r="F20" s="97"/>
      <c r="G20" s="97"/>
      <c r="I20" s="86"/>
    </row>
    <row r="21" spans="1:13" x14ac:dyDescent="0.25">
      <c r="A21" s="103" t="s">
        <v>37</v>
      </c>
      <c r="B21" s="103" t="s">
        <v>26</v>
      </c>
      <c r="C21" s="104"/>
      <c r="D21" s="105"/>
      <c r="E21" s="105"/>
      <c r="F21" s="105"/>
      <c r="G21" s="105"/>
    </row>
    <row r="22" spans="1:13" s="59" customFormat="1" ht="15.75" customHeight="1" x14ac:dyDescent="0.25">
      <c r="A22" s="95"/>
      <c r="B22" s="96" t="s">
        <v>14</v>
      </c>
      <c r="C22" s="97">
        <f>2476.69/C2</f>
        <v>328.71</v>
      </c>
      <c r="D22" s="97">
        <v>477.8</v>
      </c>
      <c r="E22" s="97">
        <v>753.18</v>
      </c>
      <c r="F22" s="97">
        <f>E22/C22*100</f>
        <v>229.13</v>
      </c>
      <c r="G22" s="97">
        <f t="shared" ref="G22:G23" si="6">E22/D22*100</f>
        <v>157.63</v>
      </c>
      <c r="I22" s="86"/>
      <c r="K22" s="86"/>
      <c r="M22" s="86"/>
    </row>
    <row r="23" spans="1:13" s="59" customFormat="1" ht="15.75" customHeight="1" x14ac:dyDescent="0.25">
      <c r="A23" s="95"/>
      <c r="B23" s="96" t="s">
        <v>17</v>
      </c>
      <c r="C23" s="97">
        <f>46874.19/C2</f>
        <v>6221.27</v>
      </c>
      <c r="D23" s="97">
        <f>5339.31+3238.44</f>
        <v>8577.75</v>
      </c>
      <c r="E23" s="97">
        <v>1077.1300000000001</v>
      </c>
      <c r="F23" s="97">
        <f>E23/C23*100</f>
        <v>17.309999999999999</v>
      </c>
      <c r="G23" s="97">
        <f t="shared" si="6"/>
        <v>12.56</v>
      </c>
      <c r="I23" s="86"/>
    </row>
    <row r="24" spans="1:13" s="59" customFormat="1" ht="15.75" customHeight="1" x14ac:dyDescent="0.25">
      <c r="A24" s="95"/>
      <c r="B24" s="96" t="s">
        <v>254</v>
      </c>
      <c r="C24" s="97">
        <f>C22-C23</f>
        <v>-5892.56</v>
      </c>
      <c r="D24" s="97">
        <f t="shared" ref="D24:E24" si="7">D22-D23</f>
        <v>-8099.95</v>
      </c>
      <c r="E24" s="97">
        <f t="shared" si="7"/>
        <v>-323.95</v>
      </c>
      <c r="F24" s="97"/>
      <c r="G24" s="97"/>
      <c r="I24" s="86"/>
    </row>
    <row r="25" spans="1:13" x14ac:dyDescent="0.25">
      <c r="A25" s="103" t="s">
        <v>143</v>
      </c>
      <c r="B25" s="103" t="s">
        <v>255</v>
      </c>
      <c r="C25" s="104"/>
      <c r="D25" s="105"/>
      <c r="E25" s="105"/>
      <c r="F25" s="105"/>
      <c r="G25" s="105"/>
    </row>
    <row r="26" spans="1:13" s="59" customFormat="1" ht="15.75" customHeight="1" x14ac:dyDescent="0.25">
      <c r="A26" s="95"/>
      <c r="B26" s="96" t="s">
        <v>14</v>
      </c>
      <c r="C26" s="97">
        <v>0</v>
      </c>
      <c r="D26" s="97">
        <v>8099.95</v>
      </c>
      <c r="E26" s="97">
        <v>0</v>
      </c>
      <c r="F26" s="97">
        <v>0</v>
      </c>
      <c r="G26" s="97">
        <f t="shared" ref="G26:G27" si="8">E26/D26*100</f>
        <v>0</v>
      </c>
      <c r="I26" s="86"/>
      <c r="K26" s="86"/>
      <c r="M26" s="86"/>
    </row>
    <row r="27" spans="1:13" s="59" customFormat="1" ht="15.75" customHeight="1" x14ac:dyDescent="0.25">
      <c r="A27" s="95"/>
      <c r="B27" s="96" t="s">
        <v>17</v>
      </c>
      <c r="C27" s="97">
        <v>0</v>
      </c>
      <c r="D27" s="97">
        <v>0</v>
      </c>
      <c r="E27" s="97">
        <v>0</v>
      </c>
      <c r="F27" s="97">
        <v>0</v>
      </c>
      <c r="G27" s="97" t="e">
        <f t="shared" si="8"/>
        <v>#DIV/0!</v>
      </c>
      <c r="I27" s="86"/>
    </row>
    <row r="28" spans="1:13" s="59" customFormat="1" ht="15.75" customHeight="1" x14ac:dyDescent="0.25">
      <c r="A28" s="95"/>
      <c r="B28" s="96" t="s">
        <v>254</v>
      </c>
      <c r="C28" s="97">
        <f>C26-C27</f>
        <v>0</v>
      </c>
      <c r="D28" s="97">
        <f t="shared" ref="D28:E28" si="9">D26-D27</f>
        <v>8099.95</v>
      </c>
      <c r="E28" s="97">
        <f t="shared" si="9"/>
        <v>0</v>
      </c>
      <c r="F28" s="97"/>
      <c r="G28" s="97"/>
      <c r="I28" s="86"/>
    </row>
    <row r="29" spans="1:13" x14ac:dyDescent="0.25">
      <c r="A29" s="103" t="s">
        <v>144</v>
      </c>
      <c r="B29" s="103" t="s">
        <v>33</v>
      </c>
      <c r="C29" s="104"/>
      <c r="D29" s="105"/>
      <c r="E29" s="105"/>
      <c r="F29" s="105"/>
      <c r="G29" s="105"/>
    </row>
    <row r="30" spans="1:13" s="101" customFormat="1" ht="15.75" customHeight="1" x14ac:dyDescent="0.25">
      <c r="A30" s="95"/>
      <c r="B30" s="96" t="s">
        <v>14</v>
      </c>
      <c r="C30" s="97">
        <f>334876.58/C2</f>
        <v>44445.760000000002</v>
      </c>
      <c r="D30" s="97">
        <v>43065.24</v>
      </c>
      <c r="E30" s="97">
        <v>21086.03</v>
      </c>
      <c r="F30" s="97">
        <f>E30/C30*100</f>
        <v>47.44</v>
      </c>
      <c r="G30" s="97">
        <f t="shared" ref="G30:G31" si="10">E30/D30*100</f>
        <v>48.96</v>
      </c>
      <c r="I30" s="102"/>
      <c r="K30" s="102"/>
      <c r="M30" s="102"/>
    </row>
    <row r="31" spans="1:13" s="101" customFormat="1" ht="15.75" customHeight="1" x14ac:dyDescent="0.25">
      <c r="A31" s="95"/>
      <c r="B31" s="96" t="s">
        <v>17</v>
      </c>
      <c r="C31" s="97">
        <f>C30</f>
        <v>44445.760000000002</v>
      </c>
      <c r="D31" s="97">
        <f>D30</f>
        <v>43065.24</v>
      </c>
      <c r="E31" s="97">
        <v>16441.66</v>
      </c>
      <c r="F31" s="97">
        <f>E31/C31*100</f>
        <v>36.99</v>
      </c>
      <c r="G31" s="97">
        <f t="shared" si="10"/>
        <v>38.18</v>
      </c>
      <c r="I31" s="102"/>
    </row>
    <row r="32" spans="1:13" s="101" customFormat="1" ht="15.75" customHeight="1" x14ac:dyDescent="0.25">
      <c r="A32" s="95"/>
      <c r="B32" s="96" t="s">
        <v>254</v>
      </c>
      <c r="C32" s="97">
        <f>C30-C31</f>
        <v>0</v>
      </c>
      <c r="D32" s="97">
        <f t="shared" ref="D32:E32" si="11">D30-D31</f>
        <v>0</v>
      </c>
      <c r="E32" s="97">
        <f t="shared" si="11"/>
        <v>4644.37</v>
      </c>
      <c r="F32" s="97"/>
      <c r="G32" s="97"/>
      <c r="I32" s="102"/>
    </row>
    <row r="33" spans="1:13" x14ac:dyDescent="0.25">
      <c r="A33" s="103" t="s">
        <v>38</v>
      </c>
      <c r="B33" s="103" t="s">
        <v>136</v>
      </c>
      <c r="C33" s="104"/>
      <c r="D33" s="105"/>
      <c r="E33" s="105"/>
      <c r="F33" s="105"/>
      <c r="G33" s="105"/>
    </row>
    <row r="34" spans="1:13" s="101" customFormat="1" ht="15.75" customHeight="1" x14ac:dyDescent="0.25">
      <c r="A34" s="95"/>
      <c r="B34" s="96" t="s">
        <v>14</v>
      </c>
      <c r="C34" s="97">
        <f>8541764.81/C2</f>
        <v>1133687.01</v>
      </c>
      <c r="D34" s="97">
        <f>1188824.15+862.69</f>
        <v>1189686.8400000001</v>
      </c>
      <c r="E34" s="97">
        <v>1326324.5900000001</v>
      </c>
      <c r="F34" s="97">
        <f>E34/C34*100</f>
        <v>116.99</v>
      </c>
      <c r="G34" s="97">
        <f t="shared" ref="G34:G35" si="12">E34/D34*100</f>
        <v>111.49</v>
      </c>
      <c r="I34" s="102"/>
      <c r="K34" s="102"/>
      <c r="M34" s="102"/>
    </row>
    <row r="35" spans="1:13" s="101" customFormat="1" ht="15.75" customHeight="1" x14ac:dyDescent="0.25">
      <c r="A35" s="95"/>
      <c r="B35" s="96" t="s">
        <v>17</v>
      </c>
      <c r="C35" s="97">
        <f>8540424.62/C2</f>
        <v>1133509.1399999999</v>
      </c>
      <c r="D35" s="97">
        <f>1188824.15+862.69</f>
        <v>1189686.8400000001</v>
      </c>
      <c r="E35" s="97">
        <v>1329344.3700000001</v>
      </c>
      <c r="F35" s="97">
        <f>E35/C35*100</f>
        <v>117.28</v>
      </c>
      <c r="G35" s="97">
        <f t="shared" si="12"/>
        <v>111.74</v>
      </c>
      <c r="I35" s="102"/>
    </row>
    <row r="36" spans="1:13" s="101" customFormat="1" ht="15.75" customHeight="1" x14ac:dyDescent="0.25">
      <c r="A36" s="95"/>
      <c r="B36" s="96" t="s">
        <v>254</v>
      </c>
      <c r="C36" s="97">
        <f>C34-C35</f>
        <v>177.87</v>
      </c>
      <c r="D36" s="97">
        <f t="shared" ref="D36:E36" si="13">D34-D35</f>
        <v>0</v>
      </c>
      <c r="E36" s="97">
        <f t="shared" si="13"/>
        <v>-3019.78</v>
      </c>
      <c r="F36" s="97"/>
      <c r="G36" s="97"/>
      <c r="I36" s="102"/>
    </row>
    <row r="37" spans="1:13" x14ac:dyDescent="0.25">
      <c r="A37" s="103" t="s">
        <v>222</v>
      </c>
      <c r="B37" s="103" t="s">
        <v>137</v>
      </c>
      <c r="C37" s="104"/>
      <c r="D37" s="105"/>
      <c r="E37" s="105"/>
      <c r="F37" s="105"/>
      <c r="G37" s="105"/>
    </row>
    <row r="38" spans="1:13" s="101" customFormat="1" ht="15.75" customHeight="1" x14ac:dyDescent="0.25">
      <c r="A38" s="95"/>
      <c r="B38" s="96" t="s">
        <v>14</v>
      </c>
      <c r="C38" s="97">
        <f>4000/C2</f>
        <v>530.89</v>
      </c>
      <c r="D38" s="97">
        <v>530.89</v>
      </c>
      <c r="E38" s="97">
        <v>300</v>
      </c>
      <c r="F38" s="97">
        <f>E38/C38*100</f>
        <v>56.51</v>
      </c>
      <c r="G38" s="97">
        <f t="shared" ref="G38:G39" si="14">E38/D38*100</f>
        <v>56.51</v>
      </c>
      <c r="I38" s="102"/>
      <c r="K38" s="102"/>
      <c r="M38" s="102"/>
    </row>
    <row r="39" spans="1:13" s="101" customFormat="1" ht="15.75" customHeight="1" x14ac:dyDescent="0.25">
      <c r="A39" s="95"/>
      <c r="B39" s="96" t="s">
        <v>17</v>
      </c>
      <c r="C39" s="97">
        <f>C38</f>
        <v>530.89</v>
      </c>
      <c r="D39" s="97">
        <f>D38</f>
        <v>530.89</v>
      </c>
      <c r="E39" s="97">
        <v>0</v>
      </c>
      <c r="F39" s="97">
        <f>E39/C39*100</f>
        <v>0</v>
      </c>
      <c r="G39" s="97">
        <f t="shared" si="14"/>
        <v>0</v>
      </c>
      <c r="I39" s="102"/>
    </row>
    <row r="40" spans="1:13" s="101" customFormat="1" ht="15.75" customHeight="1" x14ac:dyDescent="0.25">
      <c r="A40" s="95"/>
      <c r="B40" s="96" t="s">
        <v>254</v>
      </c>
      <c r="C40" s="97">
        <f>C38-C39</f>
        <v>0</v>
      </c>
      <c r="D40" s="97">
        <f t="shared" ref="D40:E40" si="15">D38-D39</f>
        <v>0</v>
      </c>
      <c r="E40" s="97">
        <f t="shared" si="15"/>
        <v>300</v>
      </c>
      <c r="F40" s="97"/>
      <c r="G40" s="97"/>
      <c r="I40" s="102"/>
    </row>
    <row r="41" spans="1:13" s="101" customFormat="1" ht="15.75" customHeight="1" x14ac:dyDescent="0.25">
      <c r="A41" s="106"/>
      <c r="B41" s="106" t="s">
        <v>256</v>
      </c>
      <c r="C41" s="107">
        <f>C6+C10+C14+C18+C22+C26+C30+C34+C38</f>
        <v>1409572.09</v>
      </c>
      <c r="D41" s="107">
        <f>D6+D10+D14+D18+D22+D26+D30+D34+D38</f>
        <v>1470839.26</v>
      </c>
      <c r="E41" s="107">
        <f t="shared" ref="E41:E42" si="16">E6+E10+E14+E18+E22+E26+E30+E34+E38</f>
        <v>1483886.75</v>
      </c>
      <c r="F41" s="107"/>
      <c r="G41" s="107"/>
      <c r="H41" s="102"/>
      <c r="I41" s="102"/>
      <c r="K41" s="102"/>
      <c r="M41" s="102"/>
    </row>
    <row r="42" spans="1:13" s="101" customFormat="1" ht="15.75" customHeight="1" x14ac:dyDescent="0.25">
      <c r="A42" s="106"/>
      <c r="B42" s="106" t="s">
        <v>257</v>
      </c>
      <c r="C42" s="107">
        <f>C7+C11+C15+C19+C23+C27+C31+C35+C39</f>
        <v>1412813.25</v>
      </c>
      <c r="D42" s="107">
        <f>D7+D11+D15+D19+D23+D27+D31+D35+D39</f>
        <v>1470839.26</v>
      </c>
      <c r="E42" s="107">
        <f t="shared" si="16"/>
        <v>1484024.28</v>
      </c>
      <c r="F42" s="107"/>
      <c r="G42" s="107"/>
      <c r="H42" s="102"/>
      <c r="I42" s="102"/>
    </row>
    <row r="43" spans="1:13" s="101" customFormat="1" ht="28.5" customHeight="1" x14ac:dyDescent="0.25">
      <c r="A43" s="106"/>
      <c r="B43" s="106" t="s">
        <v>258</v>
      </c>
      <c r="C43" s="107">
        <f>C41-C42</f>
        <v>-3241.16</v>
      </c>
      <c r="D43" s="107">
        <f t="shared" ref="D43" si="17">D41-D42</f>
        <v>0</v>
      </c>
      <c r="E43" s="107">
        <f>E41-E42</f>
        <v>-137.53</v>
      </c>
      <c r="F43" s="107"/>
      <c r="G43" s="107"/>
      <c r="I43" s="102"/>
    </row>
    <row r="44" spans="1:13" x14ac:dyDescent="0.25">
      <c r="D44" s="47"/>
    </row>
    <row r="45" spans="1:13" ht="18" x14ac:dyDescent="0.25">
      <c r="A45" s="18"/>
      <c r="B45" s="18"/>
      <c r="C45" s="18"/>
      <c r="D45" s="18"/>
      <c r="E45" s="49"/>
      <c r="F45" s="50"/>
      <c r="G45" s="50"/>
    </row>
    <row r="47" spans="1:13" x14ac:dyDescent="0.25">
      <c r="A47" t="s">
        <v>236</v>
      </c>
      <c r="C47" t="s">
        <v>237</v>
      </c>
      <c r="F47" s="47" t="s">
        <v>238</v>
      </c>
    </row>
    <row r="48" spans="1:13" x14ac:dyDescent="0.25">
      <c r="A48" t="s">
        <v>406</v>
      </c>
      <c r="C48" t="s">
        <v>407</v>
      </c>
      <c r="F48" s="47" t="s">
        <v>408</v>
      </c>
    </row>
    <row r="49" spans="1:3" x14ac:dyDescent="0.25">
      <c r="A49" t="s">
        <v>405</v>
      </c>
    </row>
    <row r="50" spans="1:3" x14ac:dyDescent="0.25">
      <c r="C50" s="47"/>
    </row>
    <row r="51" spans="1:3" x14ac:dyDescent="0.25">
      <c r="C51" s="47"/>
    </row>
  </sheetData>
  <mergeCells count="3">
    <mergeCell ref="A1:G1"/>
    <mergeCell ref="A3:B3"/>
    <mergeCell ref="A4:B4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9"/>
  <sheetViews>
    <sheetView view="pageBreakPreview" zoomScaleNormal="100" zoomScaleSheetLayoutView="100" workbookViewId="0">
      <pane ySplit="5" topLeftCell="A388" activePane="bottomLeft" state="frozen"/>
      <selection pane="bottomLeft" activeCell="A421" sqref="A421:XFD587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4.85546875" customWidth="1"/>
    <col min="5" max="5" width="17.7109375" customWidth="1"/>
    <col min="6" max="6" width="19.42578125" customWidth="1"/>
    <col min="7" max="7" width="19.85546875" customWidth="1"/>
    <col min="8" max="8" width="15" customWidth="1"/>
    <col min="9" max="9" width="19.5703125" customWidth="1"/>
    <col min="10" max="10" width="11.7109375" hidden="1" customWidth="1"/>
    <col min="11" max="11" width="14.7109375" hidden="1" customWidth="1"/>
    <col min="12" max="12" width="14.85546875" hidden="1" customWidth="1"/>
    <col min="13" max="14" width="0" hidden="1" customWidth="1"/>
    <col min="17" max="17" width="15.7109375" customWidth="1"/>
  </cols>
  <sheetData>
    <row r="1" spans="1:16" ht="28.5" customHeight="1" x14ac:dyDescent="0.25">
      <c r="A1" s="158" t="s">
        <v>374</v>
      </c>
      <c r="B1" s="158"/>
      <c r="C1" s="158"/>
      <c r="D1" s="158"/>
      <c r="E1" s="158"/>
      <c r="F1" s="158"/>
      <c r="G1" s="158"/>
      <c r="H1" s="158"/>
      <c r="J1" s="37">
        <v>7.5345000000000004</v>
      </c>
    </row>
    <row r="2" spans="1:16" ht="14.25" customHeight="1" x14ac:dyDescent="0.25">
      <c r="A2" s="5"/>
      <c r="B2" s="5"/>
      <c r="C2" s="153"/>
      <c r="D2" s="152"/>
      <c r="E2" s="154">
        <v>7.5345000000000004</v>
      </c>
      <c r="F2" s="153"/>
      <c r="G2" s="155"/>
      <c r="H2" s="6"/>
      <c r="I2" s="47"/>
    </row>
    <row r="3" spans="1:16" ht="18" customHeight="1" x14ac:dyDescent="0.25">
      <c r="A3" s="158" t="s">
        <v>21</v>
      </c>
      <c r="B3" s="159"/>
      <c r="C3" s="159"/>
      <c r="D3" s="159"/>
      <c r="E3" s="159"/>
      <c r="F3" s="159"/>
      <c r="G3" s="159"/>
      <c r="H3" s="159"/>
      <c r="J3" s="47">
        <v>1325588.23</v>
      </c>
      <c r="L3">
        <v>1321606.55</v>
      </c>
    </row>
    <row r="4" spans="1:16" ht="18" x14ac:dyDescent="0.25">
      <c r="A4" s="5"/>
      <c r="B4" s="5"/>
      <c r="C4" s="5"/>
      <c r="D4" s="75" t="s">
        <v>233</v>
      </c>
      <c r="E4" s="70">
        <f>E6+E13+E26+E65+E219+E20+E186+E192+E199</f>
        <v>1412813.27</v>
      </c>
      <c r="F4" s="70">
        <f>F6+F13+F26+F65+F219+F20+F192</f>
        <v>1470839.26</v>
      </c>
      <c r="G4" s="70">
        <f>G6+G13+G26+G65+G219+G20+G186+G192</f>
        <v>1484024.28</v>
      </c>
      <c r="H4" s="70"/>
      <c r="I4" s="47"/>
    </row>
    <row r="5" spans="1:16" ht="25.5" x14ac:dyDescent="0.25">
      <c r="A5" s="216" t="s">
        <v>23</v>
      </c>
      <c r="B5" s="217"/>
      <c r="C5" s="218"/>
      <c r="D5" s="13" t="s">
        <v>24</v>
      </c>
      <c r="E5" s="14" t="s">
        <v>384</v>
      </c>
      <c r="F5" s="14" t="s">
        <v>242</v>
      </c>
      <c r="G5" s="14" t="s">
        <v>379</v>
      </c>
      <c r="H5" s="14" t="s">
        <v>243</v>
      </c>
      <c r="M5" s="59"/>
    </row>
    <row r="6" spans="1:16" ht="24" customHeight="1" x14ac:dyDescent="0.25">
      <c r="A6" s="219" t="s">
        <v>112</v>
      </c>
      <c r="B6" s="220"/>
      <c r="C6" s="221"/>
      <c r="D6" s="44" t="s">
        <v>125</v>
      </c>
      <c r="E6" s="45">
        <f>E7</f>
        <v>3098.03</v>
      </c>
      <c r="F6" s="45">
        <f t="shared" ref="F6:G9" si="0">F7</f>
        <v>2156.25</v>
      </c>
      <c r="G6" s="45">
        <f t="shared" si="0"/>
        <v>1799.39</v>
      </c>
      <c r="H6" s="45">
        <f t="shared" ref="H6:H9" si="1">G6/F6*100</f>
        <v>83.45</v>
      </c>
      <c r="I6" s="47"/>
      <c r="K6" s="59"/>
      <c r="L6" s="59"/>
      <c r="M6" s="59"/>
      <c r="N6" s="59"/>
      <c r="O6" s="59"/>
      <c r="P6" s="59"/>
    </row>
    <row r="7" spans="1:16" ht="30" customHeight="1" x14ac:dyDescent="0.25">
      <c r="A7" s="198" t="s">
        <v>126</v>
      </c>
      <c r="B7" s="199"/>
      <c r="C7" s="200"/>
      <c r="D7" s="38" t="s">
        <v>127</v>
      </c>
      <c r="E7" s="41">
        <f>E8</f>
        <v>3098.03</v>
      </c>
      <c r="F7" s="41">
        <f t="shared" si="0"/>
        <v>2156.25</v>
      </c>
      <c r="G7" s="41">
        <f t="shared" si="0"/>
        <v>1799.39</v>
      </c>
      <c r="H7" s="41">
        <f t="shared" si="1"/>
        <v>83.45</v>
      </c>
    </row>
    <row r="8" spans="1:16" ht="15" customHeight="1" x14ac:dyDescent="0.25">
      <c r="A8" s="183" t="s">
        <v>128</v>
      </c>
      <c r="B8" s="184"/>
      <c r="C8" s="185"/>
      <c r="D8" s="42" t="s">
        <v>129</v>
      </c>
      <c r="E8" s="42">
        <f>E9</f>
        <v>3098.03</v>
      </c>
      <c r="F8" s="42">
        <f t="shared" si="0"/>
        <v>2156.25</v>
      </c>
      <c r="G8" s="42">
        <f t="shared" si="0"/>
        <v>1799.39</v>
      </c>
      <c r="H8" s="42">
        <f t="shared" si="1"/>
        <v>83.45</v>
      </c>
      <c r="I8" s="47"/>
    </row>
    <row r="9" spans="1:16" x14ac:dyDescent="0.25">
      <c r="A9" s="186">
        <v>3</v>
      </c>
      <c r="B9" s="187"/>
      <c r="C9" s="188"/>
      <c r="D9" s="39" t="s">
        <v>17</v>
      </c>
      <c r="E9" s="40">
        <f>E10</f>
        <v>3098.03</v>
      </c>
      <c r="F9" s="40">
        <f t="shared" si="0"/>
        <v>2156.25</v>
      </c>
      <c r="G9" s="40">
        <f t="shared" si="0"/>
        <v>1799.39</v>
      </c>
      <c r="H9" s="40">
        <f t="shared" si="1"/>
        <v>83.45</v>
      </c>
    </row>
    <row r="10" spans="1:16" ht="26.25" x14ac:dyDescent="0.25">
      <c r="A10" s="189">
        <v>37</v>
      </c>
      <c r="B10" s="190"/>
      <c r="C10" s="191"/>
      <c r="D10" s="33" t="s">
        <v>130</v>
      </c>
      <c r="E10" s="60">
        <f>E11</f>
        <v>3098.03</v>
      </c>
      <c r="F10" s="60">
        <f>F12</f>
        <v>2156.25</v>
      </c>
      <c r="G10" s="60">
        <f t="shared" ref="G10" si="2">G12</f>
        <v>1799.39</v>
      </c>
      <c r="H10" s="60">
        <f>G10/F10*100</f>
        <v>83.45</v>
      </c>
      <c r="I10" s="47"/>
    </row>
    <row r="11" spans="1:16" ht="25.5" x14ac:dyDescent="0.25">
      <c r="A11" s="195" t="s">
        <v>203</v>
      </c>
      <c r="B11" s="196"/>
      <c r="C11" s="197"/>
      <c r="D11" s="78" t="s">
        <v>130</v>
      </c>
      <c r="E11" s="79">
        <f>SUM(E12)</f>
        <v>3098.03</v>
      </c>
      <c r="F11" s="79">
        <f>F12</f>
        <v>2156.25</v>
      </c>
      <c r="G11" s="79">
        <f>G12</f>
        <v>1799.39</v>
      </c>
      <c r="H11" s="79">
        <f>G11/F11*100</f>
        <v>83.45</v>
      </c>
    </row>
    <row r="12" spans="1:16" ht="25.5" x14ac:dyDescent="0.25">
      <c r="A12" s="192" t="s">
        <v>204</v>
      </c>
      <c r="B12" s="193"/>
      <c r="C12" s="194"/>
      <c r="D12" s="29" t="s">
        <v>130</v>
      </c>
      <c r="E12" s="35">
        <f>23342.1/7.5345</f>
        <v>3098.03</v>
      </c>
      <c r="F12" s="35">
        <v>2156.25</v>
      </c>
      <c r="G12" s="35">
        <v>1799.39</v>
      </c>
      <c r="H12" s="36"/>
    </row>
    <row r="13" spans="1:16" ht="36" x14ac:dyDescent="0.25">
      <c r="A13" s="207" t="s">
        <v>112</v>
      </c>
      <c r="B13" s="208"/>
      <c r="C13" s="209"/>
      <c r="D13" s="30" t="s">
        <v>185</v>
      </c>
      <c r="E13" s="31">
        <f t="shared" ref="E13:G16" si="3">E14</f>
        <v>0</v>
      </c>
      <c r="F13" s="31">
        <f t="shared" si="3"/>
        <v>4281</v>
      </c>
      <c r="G13" s="31">
        <f t="shared" si="3"/>
        <v>5549.68</v>
      </c>
      <c r="H13" s="31">
        <f t="shared" ref="H13:H16" si="4">G13/F13*100</f>
        <v>129.63999999999999</v>
      </c>
      <c r="K13" s="59"/>
      <c r="L13" s="59"/>
      <c r="M13" s="59"/>
      <c r="N13" s="59"/>
      <c r="O13" s="59"/>
      <c r="P13" s="59"/>
    </row>
    <row r="14" spans="1:16" ht="35.25" customHeight="1" x14ac:dyDescent="0.25">
      <c r="A14" s="198" t="s">
        <v>108</v>
      </c>
      <c r="B14" s="199"/>
      <c r="C14" s="200"/>
      <c r="D14" s="38" t="s">
        <v>376</v>
      </c>
      <c r="E14" s="41">
        <f t="shared" si="3"/>
        <v>0</v>
      </c>
      <c r="F14" s="41">
        <f t="shared" si="3"/>
        <v>4281</v>
      </c>
      <c r="G14" s="41">
        <f t="shared" si="3"/>
        <v>5549.68</v>
      </c>
      <c r="H14" s="41">
        <f t="shared" si="4"/>
        <v>129.63999999999999</v>
      </c>
    </row>
    <row r="15" spans="1:16" ht="15" customHeight="1" x14ac:dyDescent="0.25">
      <c r="A15" s="183" t="s">
        <v>116</v>
      </c>
      <c r="B15" s="184"/>
      <c r="C15" s="185"/>
      <c r="D15" s="42" t="s">
        <v>15</v>
      </c>
      <c r="E15" s="42">
        <f t="shared" si="3"/>
        <v>0</v>
      </c>
      <c r="F15" s="42">
        <f t="shared" si="3"/>
        <v>4281</v>
      </c>
      <c r="G15" s="42">
        <f t="shared" si="3"/>
        <v>5549.68</v>
      </c>
      <c r="H15" s="42">
        <f t="shared" si="4"/>
        <v>129.63999999999999</v>
      </c>
    </row>
    <row r="16" spans="1:16" x14ac:dyDescent="0.25">
      <c r="A16" s="186">
        <v>3</v>
      </c>
      <c r="B16" s="187"/>
      <c r="C16" s="188"/>
      <c r="D16" s="147" t="s">
        <v>17</v>
      </c>
      <c r="E16" s="40">
        <f t="shared" si="3"/>
        <v>0</v>
      </c>
      <c r="F16" s="40">
        <f t="shared" si="3"/>
        <v>4281</v>
      </c>
      <c r="G16" s="40">
        <f t="shared" si="3"/>
        <v>5549.68</v>
      </c>
      <c r="H16" s="40">
        <f t="shared" si="4"/>
        <v>129.63999999999999</v>
      </c>
    </row>
    <row r="17" spans="1:16" x14ac:dyDescent="0.25">
      <c r="A17" s="189">
        <v>32</v>
      </c>
      <c r="B17" s="190"/>
      <c r="C17" s="191"/>
      <c r="D17" s="61" t="s">
        <v>25</v>
      </c>
      <c r="E17" s="60">
        <f>E19</f>
        <v>0</v>
      </c>
      <c r="F17" s="60">
        <f>F19</f>
        <v>4281</v>
      </c>
      <c r="G17" s="60">
        <f>G19</f>
        <v>5549.68</v>
      </c>
      <c r="H17" s="60">
        <f>G17/F17*100</f>
        <v>129.63999999999999</v>
      </c>
    </row>
    <row r="18" spans="1:16" x14ac:dyDescent="0.25">
      <c r="A18" s="195" t="s">
        <v>183</v>
      </c>
      <c r="B18" s="196"/>
      <c r="C18" s="197"/>
      <c r="D18" s="78" t="s">
        <v>78</v>
      </c>
      <c r="E18" s="79">
        <f>SUM(E19:E20)</f>
        <v>29858.48</v>
      </c>
      <c r="F18" s="79">
        <f>F19</f>
        <v>4281</v>
      </c>
      <c r="G18" s="79">
        <f>SUM(G19:G21)</f>
        <v>5549.68</v>
      </c>
      <c r="H18" s="79">
        <f t="shared" ref="H18" si="5">G18/F18*100</f>
        <v>129.63999999999999</v>
      </c>
    </row>
    <row r="19" spans="1:16" x14ac:dyDescent="0.25">
      <c r="A19" s="192">
        <v>3223</v>
      </c>
      <c r="B19" s="193">
        <v>3223</v>
      </c>
      <c r="C19" s="194">
        <v>3223</v>
      </c>
      <c r="D19" s="29" t="s">
        <v>47</v>
      </c>
      <c r="E19" s="35"/>
      <c r="F19" s="35">
        <v>4281</v>
      </c>
      <c r="G19" s="35">
        <v>5549.68</v>
      </c>
      <c r="H19" s="36"/>
    </row>
    <row r="20" spans="1:16" ht="24" x14ac:dyDescent="0.25">
      <c r="A20" s="207" t="s">
        <v>112</v>
      </c>
      <c r="B20" s="208"/>
      <c r="C20" s="209"/>
      <c r="D20" s="30" t="s">
        <v>39</v>
      </c>
      <c r="E20" s="31">
        <f t="shared" ref="E20:G24" si="6">E21</f>
        <v>29858.48</v>
      </c>
      <c r="F20" s="31">
        <f t="shared" si="6"/>
        <v>91065</v>
      </c>
      <c r="G20" s="31">
        <f t="shared" si="6"/>
        <v>0</v>
      </c>
      <c r="H20" s="31">
        <f t="shared" ref="H20:H25" si="7">G20/F20*100</f>
        <v>0</v>
      </c>
      <c r="K20" s="59"/>
      <c r="L20" s="59"/>
      <c r="M20" s="59"/>
      <c r="N20" s="59"/>
      <c r="O20" s="59"/>
      <c r="P20" s="59"/>
    </row>
    <row r="21" spans="1:16" ht="35.25" customHeight="1" x14ac:dyDescent="0.25">
      <c r="A21" s="198" t="s">
        <v>377</v>
      </c>
      <c r="B21" s="199"/>
      <c r="C21" s="200"/>
      <c r="D21" s="38" t="s">
        <v>378</v>
      </c>
      <c r="E21" s="41">
        <f t="shared" si="6"/>
        <v>29858.48</v>
      </c>
      <c r="F21" s="41">
        <f t="shared" si="6"/>
        <v>91065</v>
      </c>
      <c r="G21" s="41">
        <f t="shared" si="6"/>
        <v>0</v>
      </c>
      <c r="H21" s="41">
        <f t="shared" si="7"/>
        <v>0</v>
      </c>
    </row>
    <row r="22" spans="1:16" ht="15" customHeight="1" x14ac:dyDescent="0.25">
      <c r="A22" s="183" t="s">
        <v>116</v>
      </c>
      <c r="B22" s="184"/>
      <c r="C22" s="185"/>
      <c r="D22" s="42" t="s">
        <v>15</v>
      </c>
      <c r="E22" s="42">
        <f t="shared" si="6"/>
        <v>29858.48</v>
      </c>
      <c r="F22" s="42">
        <f t="shared" si="6"/>
        <v>91065</v>
      </c>
      <c r="G22" s="42">
        <f t="shared" si="6"/>
        <v>0</v>
      </c>
      <c r="H22" s="42">
        <f t="shared" si="7"/>
        <v>0</v>
      </c>
    </row>
    <row r="23" spans="1:16" ht="25.5" x14ac:dyDescent="0.25">
      <c r="A23" s="186">
        <v>4</v>
      </c>
      <c r="B23" s="187"/>
      <c r="C23" s="188"/>
      <c r="D23" s="147" t="s">
        <v>19</v>
      </c>
      <c r="E23" s="40">
        <f t="shared" si="6"/>
        <v>29858.48</v>
      </c>
      <c r="F23" s="40">
        <f t="shared" si="6"/>
        <v>91065</v>
      </c>
      <c r="G23" s="40">
        <f t="shared" si="6"/>
        <v>0</v>
      </c>
      <c r="H23" s="40">
        <f t="shared" si="7"/>
        <v>0</v>
      </c>
    </row>
    <row r="24" spans="1:16" ht="25.5" x14ac:dyDescent="0.25">
      <c r="A24" s="189">
        <v>42</v>
      </c>
      <c r="B24" s="190"/>
      <c r="C24" s="191"/>
      <c r="D24" s="61" t="s">
        <v>208</v>
      </c>
      <c r="E24" s="60">
        <f t="shared" si="6"/>
        <v>29858.48</v>
      </c>
      <c r="F24" s="60">
        <f t="shared" si="6"/>
        <v>91065</v>
      </c>
      <c r="G24" s="60">
        <f t="shared" si="6"/>
        <v>0</v>
      </c>
      <c r="H24" s="60">
        <f t="shared" si="7"/>
        <v>0</v>
      </c>
    </row>
    <row r="25" spans="1:16" x14ac:dyDescent="0.25">
      <c r="A25" s="192" t="s">
        <v>210</v>
      </c>
      <c r="B25" s="193"/>
      <c r="C25" s="194"/>
      <c r="D25" s="29" t="s">
        <v>40</v>
      </c>
      <c r="E25" s="35">
        <f>224968.75/7.5345</f>
        <v>29858.48</v>
      </c>
      <c r="F25" s="35">
        <v>91065</v>
      </c>
      <c r="G25" s="35">
        <v>0</v>
      </c>
      <c r="H25" s="36">
        <f t="shared" si="7"/>
        <v>0</v>
      </c>
    </row>
    <row r="26" spans="1:16" ht="36" x14ac:dyDescent="0.25">
      <c r="A26" s="207" t="s">
        <v>112</v>
      </c>
      <c r="B26" s="208"/>
      <c r="C26" s="209"/>
      <c r="D26" s="30" t="s">
        <v>41</v>
      </c>
      <c r="E26" s="31">
        <f>E27+E57</f>
        <v>50995.28</v>
      </c>
      <c r="F26" s="31">
        <f>F27+F57</f>
        <v>47795</v>
      </c>
      <c r="G26" s="31">
        <f>G27+G57</f>
        <v>47694.720000000001</v>
      </c>
      <c r="H26" s="31">
        <f t="shared" ref="H26:H30" si="8">G26/F26*100</f>
        <v>99.79</v>
      </c>
      <c r="K26" s="59"/>
      <c r="L26" s="59"/>
      <c r="M26" s="59"/>
      <c r="N26" s="59"/>
      <c r="O26" s="59"/>
      <c r="P26" s="59"/>
    </row>
    <row r="27" spans="1:16" ht="15" customHeight="1" x14ac:dyDescent="0.25">
      <c r="A27" s="198" t="s">
        <v>109</v>
      </c>
      <c r="B27" s="199"/>
      <c r="C27" s="200"/>
      <c r="D27" s="38" t="s">
        <v>43</v>
      </c>
      <c r="E27" s="41">
        <f>E28</f>
        <v>42866.82</v>
      </c>
      <c r="F27" s="41">
        <f>F28</f>
        <v>39842</v>
      </c>
      <c r="G27" s="41">
        <f t="shared" ref="G27" si="9">G28</f>
        <v>39741.72</v>
      </c>
      <c r="H27" s="41">
        <f t="shared" si="8"/>
        <v>99.75</v>
      </c>
    </row>
    <row r="28" spans="1:16" ht="15" customHeight="1" x14ac:dyDescent="0.25">
      <c r="A28" s="183" t="s">
        <v>110</v>
      </c>
      <c r="B28" s="184"/>
      <c r="C28" s="185"/>
      <c r="D28" s="42" t="s">
        <v>111</v>
      </c>
      <c r="E28" s="42">
        <f>E29</f>
        <v>42866.82</v>
      </c>
      <c r="F28" s="42">
        <f>F29</f>
        <v>39842</v>
      </c>
      <c r="G28" s="42">
        <f t="shared" ref="G28" si="10">G29</f>
        <v>39741.72</v>
      </c>
      <c r="H28" s="42">
        <f t="shared" si="8"/>
        <v>99.75</v>
      </c>
    </row>
    <row r="29" spans="1:16" x14ac:dyDescent="0.25">
      <c r="A29" s="186">
        <v>3</v>
      </c>
      <c r="B29" s="187"/>
      <c r="C29" s="188"/>
      <c r="D29" s="39" t="s">
        <v>17</v>
      </c>
      <c r="E29" s="40">
        <f>E30+E54</f>
        <v>42866.82</v>
      </c>
      <c r="F29" s="40">
        <f>F30+F54</f>
        <v>39842</v>
      </c>
      <c r="G29" s="40">
        <f>G30+G54</f>
        <v>39741.72</v>
      </c>
      <c r="H29" s="40">
        <f t="shared" si="8"/>
        <v>99.75</v>
      </c>
    </row>
    <row r="30" spans="1:16" x14ac:dyDescent="0.25">
      <c r="A30" s="189">
        <v>32</v>
      </c>
      <c r="B30" s="190"/>
      <c r="C30" s="191"/>
      <c r="D30" s="61" t="s">
        <v>25</v>
      </c>
      <c r="E30" s="60">
        <f>E31+E35+E40++E49</f>
        <v>41844.85</v>
      </c>
      <c r="F30" s="60">
        <f>F31+F35+F40++F49</f>
        <v>38812</v>
      </c>
      <c r="G30" s="60">
        <f>G31+G35+G40++G49</f>
        <v>38812</v>
      </c>
      <c r="H30" s="60">
        <f t="shared" si="8"/>
        <v>100</v>
      </c>
    </row>
    <row r="31" spans="1:16" x14ac:dyDescent="0.25">
      <c r="A31" s="195" t="s">
        <v>183</v>
      </c>
      <c r="B31" s="196"/>
      <c r="C31" s="197"/>
      <c r="D31" s="78" t="s">
        <v>78</v>
      </c>
      <c r="E31" s="79">
        <f>SUM(E32:E33)</f>
        <v>4937.29</v>
      </c>
      <c r="F31" s="79">
        <f>SUM(F32:F34)</f>
        <v>4816.7</v>
      </c>
      <c r="G31" s="79">
        <f>SUM(G32:G34)</f>
        <v>4868.91</v>
      </c>
      <c r="H31" s="79">
        <f t="shared" ref="H31:H49" si="11">G31/F31*100</f>
        <v>101.08</v>
      </c>
    </row>
    <row r="32" spans="1:16" x14ac:dyDescent="0.25">
      <c r="A32" s="192">
        <v>3211</v>
      </c>
      <c r="B32" s="193"/>
      <c r="C32" s="194"/>
      <c r="D32" s="29" t="s">
        <v>44</v>
      </c>
      <c r="E32" s="35">
        <f>33066.4/7.5345</f>
        <v>4388.67</v>
      </c>
      <c r="F32" s="35">
        <v>4100</v>
      </c>
      <c r="G32" s="35">
        <v>3737.65</v>
      </c>
      <c r="H32" s="36"/>
    </row>
    <row r="33" spans="1:8" x14ac:dyDescent="0.25">
      <c r="A33" s="192">
        <v>3213</v>
      </c>
      <c r="B33" s="193">
        <v>3213</v>
      </c>
      <c r="C33" s="194">
        <v>3213</v>
      </c>
      <c r="D33" s="29" t="s">
        <v>45</v>
      </c>
      <c r="E33" s="35">
        <f>4133.6/7.5345</f>
        <v>548.62</v>
      </c>
      <c r="F33" s="35">
        <v>716.7</v>
      </c>
      <c r="G33" s="35">
        <v>456.18</v>
      </c>
      <c r="H33" s="36"/>
    </row>
    <row r="34" spans="1:8" x14ac:dyDescent="0.25">
      <c r="A34" s="192" t="s">
        <v>187</v>
      </c>
      <c r="B34" s="193">
        <v>3213</v>
      </c>
      <c r="C34" s="194">
        <v>3213</v>
      </c>
      <c r="D34" s="29" t="s">
        <v>188</v>
      </c>
      <c r="E34" s="35">
        <f>4133.6/7.5345</f>
        <v>548.62</v>
      </c>
      <c r="F34" s="35">
        <v>0</v>
      </c>
      <c r="G34" s="35">
        <v>675.08</v>
      </c>
      <c r="H34" s="36"/>
    </row>
    <row r="35" spans="1:8" x14ac:dyDescent="0.25">
      <c r="A35" s="195" t="s">
        <v>189</v>
      </c>
      <c r="B35" s="196"/>
      <c r="C35" s="197"/>
      <c r="D35" s="78" t="s">
        <v>64</v>
      </c>
      <c r="E35" s="79">
        <f>SUM(E36:E39)</f>
        <v>23671.23</v>
      </c>
      <c r="F35" s="79">
        <f>SUM(F36:F39)</f>
        <v>20509.54</v>
      </c>
      <c r="G35" s="79">
        <f t="shared" ref="G35" si="12">SUM(G36:G39)</f>
        <v>17239.84</v>
      </c>
      <c r="H35" s="79">
        <f t="shared" si="11"/>
        <v>84.06</v>
      </c>
    </row>
    <row r="36" spans="1:8" x14ac:dyDescent="0.25">
      <c r="A36" s="192">
        <v>3221</v>
      </c>
      <c r="B36" s="193">
        <v>3221</v>
      </c>
      <c r="C36" s="194">
        <v>3221</v>
      </c>
      <c r="D36" s="29" t="s">
        <v>46</v>
      </c>
      <c r="E36" s="35">
        <f>63505/7.5345</f>
        <v>8428.56</v>
      </c>
      <c r="F36" s="35">
        <v>4500</v>
      </c>
      <c r="G36" s="35">
        <v>6694.9</v>
      </c>
      <c r="H36" s="36"/>
    </row>
    <row r="37" spans="1:8" x14ac:dyDescent="0.25">
      <c r="A37" s="192">
        <v>3223</v>
      </c>
      <c r="B37" s="193">
        <v>3223</v>
      </c>
      <c r="C37" s="194">
        <v>3223</v>
      </c>
      <c r="D37" s="29" t="s">
        <v>47</v>
      </c>
      <c r="E37" s="35">
        <f>110613/7.5345</f>
        <v>14680.87</v>
      </c>
      <c r="F37" s="35">
        <v>15151.85</v>
      </c>
      <c r="G37" s="35">
        <v>9236.35</v>
      </c>
      <c r="H37" s="36"/>
    </row>
    <row r="38" spans="1:8" x14ac:dyDescent="0.25">
      <c r="A38" s="192">
        <v>3225</v>
      </c>
      <c r="B38" s="193">
        <v>3225</v>
      </c>
      <c r="C38" s="194">
        <v>3225</v>
      </c>
      <c r="D38" s="29" t="s">
        <v>48</v>
      </c>
      <c r="E38" s="35">
        <f>2576/7.5345</f>
        <v>341.89</v>
      </c>
      <c r="F38" s="35">
        <v>500</v>
      </c>
      <c r="G38" s="35">
        <v>1220.52</v>
      </c>
      <c r="H38" s="36"/>
    </row>
    <row r="39" spans="1:8" x14ac:dyDescent="0.25">
      <c r="A39" s="192">
        <v>3227</v>
      </c>
      <c r="B39" s="193">
        <v>3227</v>
      </c>
      <c r="C39" s="194">
        <v>3227</v>
      </c>
      <c r="D39" s="29" t="s">
        <v>49</v>
      </c>
      <c r="E39" s="35">
        <f>1656.9/E2</f>
        <v>219.91</v>
      </c>
      <c r="F39" s="35">
        <v>357.69</v>
      </c>
      <c r="G39" s="35">
        <v>88.07</v>
      </c>
      <c r="H39" s="36"/>
    </row>
    <row r="40" spans="1:8" x14ac:dyDescent="0.25">
      <c r="A40" s="195" t="s">
        <v>193</v>
      </c>
      <c r="B40" s="196"/>
      <c r="C40" s="197"/>
      <c r="D40" s="78" t="s">
        <v>66</v>
      </c>
      <c r="E40" s="79">
        <f>SUM(E41:E48)</f>
        <v>12439.99</v>
      </c>
      <c r="F40" s="79">
        <f>SUM(F41:F48)</f>
        <v>12582.24</v>
      </c>
      <c r="G40" s="79">
        <f t="shared" ref="G40" si="13">SUM(G41:G48)</f>
        <v>16105.33</v>
      </c>
      <c r="H40" s="79">
        <f t="shared" si="11"/>
        <v>128</v>
      </c>
    </row>
    <row r="41" spans="1:8" x14ac:dyDescent="0.25">
      <c r="A41" s="192">
        <v>3231</v>
      </c>
      <c r="B41" s="193">
        <v>3231</v>
      </c>
      <c r="C41" s="194">
        <v>3231</v>
      </c>
      <c r="D41" s="29" t="s">
        <v>50</v>
      </c>
      <c r="E41" s="35">
        <f>16604.44/E2</f>
        <v>2203.79</v>
      </c>
      <c r="F41" s="35">
        <v>2380</v>
      </c>
      <c r="G41" s="35">
        <v>2340.19</v>
      </c>
      <c r="H41" s="36"/>
    </row>
    <row r="42" spans="1:8" x14ac:dyDescent="0.25">
      <c r="A42" s="192">
        <v>3233</v>
      </c>
      <c r="B42" s="193">
        <v>3233</v>
      </c>
      <c r="C42" s="194">
        <v>3233</v>
      </c>
      <c r="D42" s="29" t="s">
        <v>51</v>
      </c>
      <c r="E42" s="35">
        <v>0</v>
      </c>
      <c r="F42" s="35">
        <v>10</v>
      </c>
      <c r="G42" s="35">
        <v>650.54</v>
      </c>
      <c r="H42" s="36"/>
    </row>
    <row r="43" spans="1:8" x14ac:dyDescent="0.25">
      <c r="A43" s="192">
        <v>3234</v>
      </c>
      <c r="B43" s="193">
        <v>3234</v>
      </c>
      <c r="C43" s="194">
        <v>3234</v>
      </c>
      <c r="D43" s="29" t="s">
        <v>52</v>
      </c>
      <c r="E43" s="35">
        <f>30629.86/E2</f>
        <v>4065.28</v>
      </c>
      <c r="F43" s="35">
        <v>3716.24</v>
      </c>
      <c r="G43" s="35">
        <v>3580.74</v>
      </c>
      <c r="H43" s="36"/>
    </row>
    <row r="44" spans="1:8" x14ac:dyDescent="0.25">
      <c r="A44" s="192">
        <v>3235</v>
      </c>
      <c r="B44" s="193">
        <v>3235</v>
      </c>
      <c r="C44" s="194">
        <v>3235</v>
      </c>
      <c r="D44" s="29" t="s">
        <v>53</v>
      </c>
      <c r="E44" s="35">
        <f>6881.64/E2</f>
        <v>913.35</v>
      </c>
      <c r="F44" s="35">
        <v>426</v>
      </c>
      <c r="G44" s="35">
        <v>3486.71</v>
      </c>
      <c r="H44" s="36"/>
    </row>
    <row r="45" spans="1:8" x14ac:dyDescent="0.25">
      <c r="A45" s="192">
        <v>3236</v>
      </c>
      <c r="B45" s="193">
        <v>3236</v>
      </c>
      <c r="C45" s="194">
        <v>3236</v>
      </c>
      <c r="D45" s="29" t="s">
        <v>54</v>
      </c>
      <c r="E45" s="35">
        <f>20950.66/E2</f>
        <v>2780.63</v>
      </c>
      <c r="F45" s="35">
        <v>3100</v>
      </c>
      <c r="G45" s="35">
        <v>3206.4</v>
      </c>
      <c r="H45" s="36"/>
    </row>
    <row r="46" spans="1:8" x14ac:dyDescent="0.25">
      <c r="A46" s="192">
        <v>3237</v>
      </c>
      <c r="B46" s="193">
        <v>3237</v>
      </c>
      <c r="C46" s="194">
        <v>3237</v>
      </c>
      <c r="D46" s="29" t="s">
        <v>55</v>
      </c>
      <c r="E46" s="35">
        <f>5712.5/E2</f>
        <v>758.18</v>
      </c>
      <c r="F46" s="35">
        <v>300</v>
      </c>
      <c r="G46" s="35">
        <v>124.42</v>
      </c>
      <c r="H46" s="36"/>
    </row>
    <row r="47" spans="1:8" x14ac:dyDescent="0.25">
      <c r="A47" s="192">
        <v>3238</v>
      </c>
      <c r="B47" s="193">
        <v>3238</v>
      </c>
      <c r="C47" s="194">
        <v>3238</v>
      </c>
      <c r="D47" s="29" t="s">
        <v>56</v>
      </c>
      <c r="E47" s="35">
        <f>12350/E2</f>
        <v>1639.13</v>
      </c>
      <c r="F47" s="35">
        <v>2350</v>
      </c>
      <c r="G47" s="35">
        <v>2466.33</v>
      </c>
      <c r="H47" s="36"/>
    </row>
    <row r="48" spans="1:8" x14ac:dyDescent="0.25">
      <c r="A48" s="192">
        <v>3239</v>
      </c>
      <c r="B48" s="193">
        <v>3239</v>
      </c>
      <c r="C48" s="194">
        <v>3239</v>
      </c>
      <c r="D48" s="29" t="s">
        <v>57</v>
      </c>
      <c r="E48" s="35">
        <f>600/E2</f>
        <v>79.63</v>
      </c>
      <c r="F48" s="35">
        <v>300</v>
      </c>
      <c r="G48" s="35">
        <v>250</v>
      </c>
      <c r="H48" s="36"/>
    </row>
    <row r="49" spans="1:8" x14ac:dyDescent="0.25">
      <c r="A49" s="195" t="s">
        <v>184</v>
      </c>
      <c r="B49" s="196"/>
      <c r="C49" s="197"/>
      <c r="D49" s="78" t="s">
        <v>71</v>
      </c>
      <c r="E49" s="79">
        <f>SUM(E50:E53)</f>
        <v>796.34</v>
      </c>
      <c r="F49" s="79">
        <f>SUM(F50:F53)</f>
        <v>903.52</v>
      </c>
      <c r="G49" s="79">
        <f t="shared" ref="G49" si="14">SUM(G50:G53)</f>
        <v>597.91999999999996</v>
      </c>
      <c r="H49" s="79">
        <f t="shared" si="11"/>
        <v>66.180000000000007</v>
      </c>
    </row>
    <row r="50" spans="1:8" x14ac:dyDescent="0.25">
      <c r="A50" s="192">
        <v>3293</v>
      </c>
      <c r="B50" s="193">
        <v>3293</v>
      </c>
      <c r="C50" s="194">
        <v>3293</v>
      </c>
      <c r="D50" s="29" t="s">
        <v>58</v>
      </c>
      <c r="E50" s="35">
        <f>2824.79/E2</f>
        <v>374.91</v>
      </c>
      <c r="F50" s="35">
        <v>398.17</v>
      </c>
      <c r="G50" s="35">
        <v>172.13</v>
      </c>
      <c r="H50" s="36"/>
    </row>
    <row r="51" spans="1:8" x14ac:dyDescent="0.25">
      <c r="A51" s="192">
        <v>3294</v>
      </c>
      <c r="B51" s="193">
        <v>3294</v>
      </c>
      <c r="C51" s="194">
        <v>3294</v>
      </c>
      <c r="D51" s="29" t="s">
        <v>59</v>
      </c>
      <c r="E51" s="35">
        <f>1200/E2</f>
        <v>159.27000000000001</v>
      </c>
      <c r="F51" s="35">
        <v>152.63</v>
      </c>
      <c r="G51" s="35">
        <v>163.09</v>
      </c>
      <c r="H51" s="36"/>
    </row>
    <row r="52" spans="1:8" x14ac:dyDescent="0.25">
      <c r="A52" s="192">
        <v>3295</v>
      </c>
      <c r="B52" s="193">
        <v>3295</v>
      </c>
      <c r="C52" s="194">
        <v>3295</v>
      </c>
      <c r="D52" s="29" t="s">
        <v>60</v>
      </c>
      <c r="E52" s="35">
        <v>0</v>
      </c>
      <c r="F52" s="35">
        <v>132.72</v>
      </c>
      <c r="G52" s="35">
        <v>103</v>
      </c>
      <c r="H52" s="36"/>
    </row>
    <row r="53" spans="1:8" x14ac:dyDescent="0.25">
      <c r="A53" s="192">
        <v>3299</v>
      </c>
      <c r="B53" s="193">
        <v>3299</v>
      </c>
      <c r="C53" s="194">
        <v>3299</v>
      </c>
      <c r="D53" s="29" t="s">
        <v>61</v>
      </c>
      <c r="E53" s="35">
        <f>1975.21/E2</f>
        <v>262.16000000000003</v>
      </c>
      <c r="F53" s="35">
        <v>220</v>
      </c>
      <c r="G53" s="35">
        <v>159.69999999999999</v>
      </c>
      <c r="H53" s="36"/>
    </row>
    <row r="54" spans="1:8" x14ac:dyDescent="0.25">
      <c r="A54" s="189">
        <v>34</v>
      </c>
      <c r="B54" s="190"/>
      <c r="C54" s="191"/>
      <c r="D54" s="61" t="s">
        <v>88</v>
      </c>
      <c r="E54" s="60">
        <f>E56</f>
        <v>1021.97</v>
      </c>
      <c r="F54" s="60">
        <f>F56</f>
        <v>1030</v>
      </c>
      <c r="G54" s="60">
        <f>G56</f>
        <v>929.72</v>
      </c>
      <c r="H54" s="60">
        <f t="shared" ref="H54:H60" si="15">G54/F54*100</f>
        <v>90.26</v>
      </c>
    </row>
    <row r="55" spans="1:8" x14ac:dyDescent="0.25">
      <c r="A55" s="195" t="s">
        <v>199</v>
      </c>
      <c r="B55" s="196"/>
      <c r="C55" s="197"/>
      <c r="D55" s="78" t="s">
        <v>246</v>
      </c>
      <c r="E55" s="79">
        <f>E56</f>
        <v>1021.97</v>
      </c>
      <c r="F55" s="79">
        <f>F56</f>
        <v>1030</v>
      </c>
      <c r="G55" s="79">
        <f>G56</f>
        <v>929.72</v>
      </c>
      <c r="H55" s="79">
        <f t="shared" si="15"/>
        <v>90.26</v>
      </c>
    </row>
    <row r="56" spans="1:8" x14ac:dyDescent="0.25">
      <c r="A56" s="192" t="s">
        <v>149</v>
      </c>
      <c r="B56" s="193"/>
      <c r="C56" s="194"/>
      <c r="D56" s="32" t="s">
        <v>62</v>
      </c>
      <c r="E56" s="35">
        <f>7700/7.5345</f>
        <v>1021.97</v>
      </c>
      <c r="F56" s="35">
        <v>1030</v>
      </c>
      <c r="G56" s="35">
        <v>929.72</v>
      </c>
      <c r="H56" s="36"/>
    </row>
    <row r="57" spans="1:8" x14ac:dyDescent="0.25">
      <c r="A57" s="198" t="s">
        <v>113</v>
      </c>
      <c r="B57" s="199"/>
      <c r="C57" s="200"/>
      <c r="D57" s="38" t="s">
        <v>114</v>
      </c>
      <c r="E57" s="41">
        <f t="shared" ref="E57:G59" si="16">E58</f>
        <v>8128.46</v>
      </c>
      <c r="F57" s="41">
        <f t="shared" si="16"/>
        <v>7953</v>
      </c>
      <c r="G57" s="41">
        <f t="shared" si="16"/>
        <v>7953</v>
      </c>
      <c r="H57" s="41">
        <f t="shared" si="15"/>
        <v>100</v>
      </c>
    </row>
    <row r="58" spans="1:8" ht="15" customHeight="1" x14ac:dyDescent="0.25">
      <c r="A58" s="183" t="s">
        <v>110</v>
      </c>
      <c r="B58" s="184"/>
      <c r="C58" s="185"/>
      <c r="D58" s="42" t="s">
        <v>111</v>
      </c>
      <c r="E58" s="42">
        <f t="shared" si="16"/>
        <v>8128.46</v>
      </c>
      <c r="F58" s="42">
        <f t="shared" si="16"/>
        <v>7953</v>
      </c>
      <c r="G58" s="42">
        <f t="shared" si="16"/>
        <v>7953</v>
      </c>
      <c r="H58" s="42">
        <f t="shared" si="15"/>
        <v>100</v>
      </c>
    </row>
    <row r="59" spans="1:8" x14ac:dyDescent="0.25">
      <c r="A59" s="186">
        <v>3</v>
      </c>
      <c r="B59" s="187"/>
      <c r="C59" s="188"/>
      <c r="D59" s="39" t="s">
        <v>17</v>
      </c>
      <c r="E59" s="40">
        <f t="shared" si="16"/>
        <v>8128.46</v>
      </c>
      <c r="F59" s="40">
        <f t="shared" si="16"/>
        <v>7953</v>
      </c>
      <c r="G59" s="40">
        <f t="shared" si="16"/>
        <v>7953</v>
      </c>
      <c r="H59" s="40">
        <f t="shared" si="15"/>
        <v>100</v>
      </c>
    </row>
    <row r="60" spans="1:8" x14ac:dyDescent="0.25">
      <c r="A60" s="189">
        <v>32</v>
      </c>
      <c r="B60" s="190"/>
      <c r="C60" s="191"/>
      <c r="D60" s="61" t="s">
        <v>25</v>
      </c>
      <c r="E60" s="60">
        <f>E61+E63</f>
        <v>8128.46</v>
      </c>
      <c r="F60" s="60">
        <f>F61+F63</f>
        <v>7953</v>
      </c>
      <c r="G60" s="60">
        <f>G61+G63</f>
        <v>7953</v>
      </c>
      <c r="H60" s="60">
        <f t="shared" si="15"/>
        <v>100</v>
      </c>
    </row>
    <row r="61" spans="1:8" x14ac:dyDescent="0.25">
      <c r="A61" s="195" t="s">
        <v>189</v>
      </c>
      <c r="B61" s="196"/>
      <c r="C61" s="197"/>
      <c r="D61" s="78" t="s">
        <v>64</v>
      </c>
      <c r="E61" s="79">
        <f>E62</f>
        <v>2389.0100000000002</v>
      </c>
      <c r="F61" s="79">
        <f>F62</f>
        <v>2953</v>
      </c>
      <c r="G61" s="79">
        <f>G62</f>
        <v>2767.5</v>
      </c>
      <c r="H61" s="79">
        <f>G61/F61*100</f>
        <v>93.72</v>
      </c>
    </row>
    <row r="62" spans="1:8" x14ac:dyDescent="0.25">
      <c r="A62" s="210">
        <v>3224</v>
      </c>
      <c r="B62" s="211"/>
      <c r="C62" s="212"/>
      <c r="D62" s="29" t="s">
        <v>65</v>
      </c>
      <c r="E62" s="35">
        <f>18000/E2</f>
        <v>2389.0100000000002</v>
      </c>
      <c r="F62" s="35">
        <v>2953</v>
      </c>
      <c r="G62" s="35">
        <v>2767.5</v>
      </c>
      <c r="H62" s="36"/>
    </row>
    <row r="63" spans="1:8" x14ac:dyDescent="0.25">
      <c r="A63" s="195" t="s">
        <v>193</v>
      </c>
      <c r="B63" s="196"/>
      <c r="C63" s="197"/>
      <c r="D63" s="78" t="s">
        <v>66</v>
      </c>
      <c r="E63" s="79">
        <f>E64</f>
        <v>5739.45</v>
      </c>
      <c r="F63" s="79">
        <f>F64</f>
        <v>5000</v>
      </c>
      <c r="G63" s="79">
        <f>G64</f>
        <v>5185.5</v>
      </c>
      <c r="H63" s="79">
        <f t="shared" ref="H63" si="17">G63/F63*100</f>
        <v>103.71</v>
      </c>
    </row>
    <row r="64" spans="1:8" x14ac:dyDescent="0.25">
      <c r="A64" s="210">
        <v>3232</v>
      </c>
      <c r="B64" s="211"/>
      <c r="C64" s="212"/>
      <c r="D64" s="32" t="s">
        <v>67</v>
      </c>
      <c r="E64" s="35">
        <f>43243.9/E2</f>
        <v>5739.45</v>
      </c>
      <c r="F64" s="35">
        <v>5000</v>
      </c>
      <c r="G64" s="35">
        <v>5185.5</v>
      </c>
      <c r="H64" s="36"/>
    </row>
    <row r="65" spans="1:8" ht="45" customHeight="1" x14ac:dyDescent="0.25">
      <c r="A65" s="207" t="s">
        <v>112</v>
      </c>
      <c r="B65" s="208"/>
      <c r="C65" s="209"/>
      <c r="D65" s="30" t="s">
        <v>68</v>
      </c>
      <c r="E65" s="31">
        <f>E66+E85+E92+E98+E105+E132+E79+E159</f>
        <v>41147.72</v>
      </c>
      <c r="F65" s="31">
        <f>F66+F85+F92+F98+F105+F132+F79</f>
        <v>57904.68</v>
      </c>
      <c r="G65" s="31">
        <f>G66+G85+G92+G98+G105+G132+G79</f>
        <v>52599.63</v>
      </c>
      <c r="H65" s="31">
        <f t="shared" ref="H65:H69" si="18">G65/F65*100</f>
        <v>90.84</v>
      </c>
    </row>
    <row r="66" spans="1:8" ht="14.25" customHeight="1" x14ac:dyDescent="0.25">
      <c r="A66" s="198" t="s">
        <v>82</v>
      </c>
      <c r="B66" s="199"/>
      <c r="C66" s="200"/>
      <c r="D66" s="38" t="s">
        <v>115</v>
      </c>
      <c r="E66" s="41">
        <v>663.61</v>
      </c>
      <c r="F66" s="41">
        <f>F67</f>
        <v>666</v>
      </c>
      <c r="G66" s="41">
        <f t="shared" ref="G66" si="19">G67</f>
        <v>232.57</v>
      </c>
      <c r="H66" s="41">
        <f t="shared" si="18"/>
        <v>34.92</v>
      </c>
    </row>
    <row r="67" spans="1:8" ht="15" customHeight="1" x14ac:dyDescent="0.25">
      <c r="A67" s="183" t="s">
        <v>116</v>
      </c>
      <c r="B67" s="184"/>
      <c r="C67" s="185"/>
      <c r="D67" s="42" t="s">
        <v>15</v>
      </c>
      <c r="E67" s="42">
        <v>663.61</v>
      </c>
      <c r="F67" s="42">
        <f>F68</f>
        <v>666</v>
      </c>
      <c r="G67" s="42">
        <f t="shared" ref="G67" si="20">G68</f>
        <v>232.57</v>
      </c>
      <c r="H67" s="42">
        <f t="shared" si="18"/>
        <v>34.92</v>
      </c>
    </row>
    <row r="68" spans="1:8" x14ac:dyDescent="0.25">
      <c r="A68" s="186">
        <v>3</v>
      </c>
      <c r="B68" s="187"/>
      <c r="C68" s="188"/>
      <c r="D68" s="39" t="s">
        <v>17</v>
      </c>
      <c r="E68" s="40">
        <v>663.61</v>
      </c>
      <c r="F68" s="40">
        <f>F69</f>
        <v>666</v>
      </c>
      <c r="G68" s="40">
        <f t="shared" ref="G68" si="21">G69</f>
        <v>232.57</v>
      </c>
      <c r="H68" s="40">
        <f t="shared" si="18"/>
        <v>34.92</v>
      </c>
    </row>
    <row r="69" spans="1:8" x14ac:dyDescent="0.25">
      <c r="A69" s="189">
        <v>32</v>
      </c>
      <c r="B69" s="190"/>
      <c r="C69" s="191"/>
      <c r="D69" s="61" t="s">
        <v>25</v>
      </c>
      <c r="E69" s="60">
        <v>663.61</v>
      </c>
      <c r="F69" s="60">
        <f>F70+F73+F75+F77</f>
        <v>666</v>
      </c>
      <c r="G69" s="60">
        <f>G70+G73+G75+G77</f>
        <v>232.57</v>
      </c>
      <c r="H69" s="60">
        <f t="shared" si="18"/>
        <v>34.92</v>
      </c>
    </row>
    <row r="70" spans="1:8" x14ac:dyDescent="0.25">
      <c r="A70" s="195" t="s">
        <v>183</v>
      </c>
      <c r="B70" s="196"/>
      <c r="C70" s="197"/>
      <c r="D70" s="78" t="s">
        <v>78</v>
      </c>
      <c r="E70" s="79">
        <f>SUM(E71:E72)</f>
        <v>0</v>
      </c>
      <c r="F70" s="79">
        <f>SUM(F71:F72)</f>
        <v>0</v>
      </c>
      <c r="G70" s="79">
        <f>SUM(G71:G72)</f>
        <v>0</v>
      </c>
      <c r="H70" s="79"/>
    </row>
    <row r="71" spans="1:8" x14ac:dyDescent="0.25">
      <c r="A71" s="192">
        <v>3211</v>
      </c>
      <c r="B71" s="193"/>
      <c r="C71" s="194"/>
      <c r="D71" s="29" t="s">
        <v>44</v>
      </c>
      <c r="E71" s="35"/>
      <c r="F71" s="35">
        <v>0</v>
      </c>
      <c r="G71" s="35">
        <v>0</v>
      </c>
      <c r="H71" s="36"/>
    </row>
    <row r="72" spans="1:8" x14ac:dyDescent="0.25">
      <c r="A72" s="192">
        <v>3213</v>
      </c>
      <c r="B72" s="193">
        <v>3213</v>
      </c>
      <c r="C72" s="194">
        <v>3213</v>
      </c>
      <c r="D72" s="29" t="s">
        <v>45</v>
      </c>
      <c r="E72" s="35"/>
      <c r="F72" s="35">
        <v>0</v>
      </c>
      <c r="G72" s="35">
        <v>0</v>
      </c>
      <c r="H72" s="36"/>
    </row>
    <row r="73" spans="1:8" x14ac:dyDescent="0.25">
      <c r="A73" s="195" t="s">
        <v>189</v>
      </c>
      <c r="B73" s="196"/>
      <c r="C73" s="197"/>
      <c r="D73" s="78" t="s">
        <v>64</v>
      </c>
      <c r="E73" s="79">
        <f>E74</f>
        <v>0</v>
      </c>
      <c r="F73" s="79">
        <f>F74</f>
        <v>0</v>
      </c>
      <c r="G73" s="79">
        <f t="shared" ref="G73" si="22">G74</f>
        <v>0</v>
      </c>
      <c r="H73" s="79"/>
    </row>
    <row r="74" spans="1:8" x14ac:dyDescent="0.25">
      <c r="A74" s="192">
        <v>3221</v>
      </c>
      <c r="B74" s="193">
        <v>3221</v>
      </c>
      <c r="C74" s="194">
        <v>3221</v>
      </c>
      <c r="D74" s="29" t="s">
        <v>46</v>
      </c>
      <c r="E74" s="35"/>
      <c r="F74" s="35">
        <v>0</v>
      </c>
      <c r="G74" s="35">
        <v>0</v>
      </c>
      <c r="H74" s="36"/>
    </row>
    <row r="75" spans="1:8" x14ac:dyDescent="0.25">
      <c r="A75" s="195" t="s">
        <v>184</v>
      </c>
      <c r="B75" s="196"/>
      <c r="C75" s="197"/>
      <c r="D75" s="78" t="s">
        <v>71</v>
      </c>
      <c r="E75" s="79">
        <f>E76</f>
        <v>0</v>
      </c>
      <c r="F75" s="79">
        <f>F76</f>
        <v>0</v>
      </c>
      <c r="G75" s="79">
        <f>G76</f>
        <v>0</v>
      </c>
      <c r="H75" s="79"/>
    </row>
    <row r="76" spans="1:8" x14ac:dyDescent="0.25">
      <c r="A76" s="192" t="s">
        <v>150</v>
      </c>
      <c r="B76" s="193">
        <v>3223</v>
      </c>
      <c r="C76" s="194">
        <v>3223</v>
      </c>
      <c r="D76" s="32" t="s">
        <v>58</v>
      </c>
      <c r="E76" s="35"/>
      <c r="F76" s="35">
        <v>0</v>
      </c>
      <c r="G76" s="35">
        <v>0</v>
      </c>
      <c r="H76" s="36"/>
    </row>
    <row r="77" spans="1:8" x14ac:dyDescent="0.25">
      <c r="A77" s="195" t="s">
        <v>184</v>
      </c>
      <c r="B77" s="196"/>
      <c r="C77" s="197"/>
      <c r="D77" s="78" t="s">
        <v>245</v>
      </c>
      <c r="E77" s="79">
        <f>E78</f>
        <v>663.61</v>
      </c>
      <c r="F77" s="79">
        <f>F78</f>
        <v>666</v>
      </c>
      <c r="G77" s="79">
        <f>G78</f>
        <v>232.57</v>
      </c>
      <c r="H77" s="79">
        <f>G77/F77*100</f>
        <v>34.92</v>
      </c>
    </row>
    <row r="78" spans="1:8" x14ac:dyDescent="0.25">
      <c r="A78" s="192" t="s">
        <v>152</v>
      </c>
      <c r="B78" s="193">
        <v>3213</v>
      </c>
      <c r="C78" s="194">
        <v>3213</v>
      </c>
      <c r="D78" s="29" t="s">
        <v>71</v>
      </c>
      <c r="E78" s="35">
        <f>5000/E2</f>
        <v>663.61</v>
      </c>
      <c r="F78" s="35">
        <v>666</v>
      </c>
      <c r="G78" s="35">
        <v>232.57</v>
      </c>
      <c r="H78" s="36"/>
    </row>
    <row r="79" spans="1:8" ht="24" customHeight="1" x14ac:dyDescent="0.25">
      <c r="A79" s="198" t="s">
        <v>380</v>
      </c>
      <c r="B79" s="199"/>
      <c r="C79" s="200"/>
      <c r="D79" s="38" t="s">
        <v>381</v>
      </c>
      <c r="E79" s="41">
        <f>E80</f>
        <v>0</v>
      </c>
      <c r="F79" s="41">
        <f t="shared" ref="F79:G82" si="23">F80</f>
        <v>95</v>
      </c>
      <c r="G79" s="41">
        <f t="shared" si="23"/>
        <v>95</v>
      </c>
      <c r="H79" s="41">
        <f t="shared" ref="H79:H83" si="24">G79/F79*100</f>
        <v>100</v>
      </c>
    </row>
    <row r="80" spans="1:8" ht="15" customHeight="1" x14ac:dyDescent="0.25">
      <c r="A80" s="183" t="s">
        <v>116</v>
      </c>
      <c r="B80" s="184"/>
      <c r="C80" s="185"/>
      <c r="D80" s="42" t="s">
        <v>15</v>
      </c>
      <c r="E80" s="42">
        <f>E81</f>
        <v>0</v>
      </c>
      <c r="F80" s="42">
        <f t="shared" si="23"/>
        <v>95</v>
      </c>
      <c r="G80" s="42">
        <f t="shared" si="23"/>
        <v>95</v>
      </c>
      <c r="H80" s="42">
        <f t="shared" si="24"/>
        <v>100</v>
      </c>
    </row>
    <row r="81" spans="1:8" x14ac:dyDescent="0.25">
      <c r="A81" s="186">
        <v>3</v>
      </c>
      <c r="B81" s="187"/>
      <c r="C81" s="188"/>
      <c r="D81" s="147" t="s">
        <v>17</v>
      </c>
      <c r="E81" s="40">
        <f>E82</f>
        <v>0</v>
      </c>
      <c r="F81" s="40">
        <f t="shared" si="23"/>
        <v>95</v>
      </c>
      <c r="G81" s="40">
        <f t="shared" si="23"/>
        <v>95</v>
      </c>
      <c r="H81" s="40">
        <f t="shared" si="24"/>
        <v>100</v>
      </c>
    </row>
    <row r="82" spans="1:8" x14ac:dyDescent="0.25">
      <c r="A82" s="189">
        <v>32</v>
      </c>
      <c r="B82" s="190"/>
      <c r="C82" s="191"/>
      <c r="D82" s="61" t="s">
        <v>25</v>
      </c>
      <c r="E82" s="60">
        <f>E83</f>
        <v>0</v>
      </c>
      <c r="F82" s="60">
        <f t="shared" si="23"/>
        <v>95</v>
      </c>
      <c r="G82" s="60">
        <f t="shared" si="23"/>
        <v>95</v>
      </c>
      <c r="H82" s="60">
        <f t="shared" si="24"/>
        <v>100</v>
      </c>
    </row>
    <row r="83" spans="1:8" x14ac:dyDescent="0.25">
      <c r="A83" s="195" t="s">
        <v>193</v>
      </c>
      <c r="B83" s="196"/>
      <c r="C83" s="197"/>
      <c r="D83" s="78" t="s">
        <v>66</v>
      </c>
      <c r="E83" s="79">
        <f>E84</f>
        <v>0</v>
      </c>
      <c r="F83" s="79">
        <f>SUM(F84:F85)</f>
        <v>95</v>
      </c>
      <c r="G83" s="79">
        <f t="shared" ref="G83" si="25">SUM(G84:G85)</f>
        <v>95</v>
      </c>
      <c r="H83" s="79">
        <f t="shared" si="24"/>
        <v>100</v>
      </c>
    </row>
    <row r="84" spans="1:8" x14ac:dyDescent="0.25">
      <c r="A84" s="192" t="s">
        <v>196</v>
      </c>
      <c r="B84" s="193"/>
      <c r="C84" s="194"/>
      <c r="D84" s="32" t="s">
        <v>55</v>
      </c>
      <c r="E84" s="73">
        <v>0</v>
      </c>
      <c r="F84" s="73">
        <v>95</v>
      </c>
      <c r="G84" s="73">
        <v>95</v>
      </c>
      <c r="H84" s="85"/>
    </row>
    <row r="85" spans="1:8" ht="14.25" customHeight="1" x14ac:dyDescent="0.25">
      <c r="A85" s="198" t="s">
        <v>69</v>
      </c>
      <c r="B85" s="199"/>
      <c r="C85" s="200"/>
      <c r="D85" s="38" t="s">
        <v>117</v>
      </c>
      <c r="E85" s="41">
        <v>1500.98</v>
      </c>
      <c r="F85" s="41">
        <f t="shared" ref="F85:G88" si="26">F86</f>
        <v>0</v>
      </c>
      <c r="G85" s="41">
        <f t="shared" si="26"/>
        <v>0</v>
      </c>
      <c r="H85" s="41"/>
    </row>
    <row r="86" spans="1:8" ht="15" customHeight="1" x14ac:dyDescent="0.25">
      <c r="A86" s="183" t="s">
        <v>116</v>
      </c>
      <c r="B86" s="184"/>
      <c r="C86" s="185"/>
      <c r="D86" s="42" t="s">
        <v>15</v>
      </c>
      <c r="E86" s="42">
        <v>1500.98</v>
      </c>
      <c r="F86" s="42">
        <f t="shared" si="26"/>
        <v>0</v>
      </c>
      <c r="G86" s="42">
        <f t="shared" si="26"/>
        <v>0</v>
      </c>
      <c r="H86" s="42"/>
    </row>
    <row r="87" spans="1:8" x14ac:dyDescent="0.25">
      <c r="A87" s="186">
        <v>3</v>
      </c>
      <c r="B87" s="187"/>
      <c r="C87" s="188"/>
      <c r="D87" s="39" t="s">
        <v>17</v>
      </c>
      <c r="E87" s="40">
        <v>1500.98</v>
      </c>
      <c r="F87" s="40">
        <f t="shared" si="26"/>
        <v>0</v>
      </c>
      <c r="G87" s="40">
        <f t="shared" si="26"/>
        <v>0</v>
      </c>
      <c r="H87" s="40"/>
    </row>
    <row r="88" spans="1:8" x14ac:dyDescent="0.25">
      <c r="A88" s="189">
        <v>32</v>
      </c>
      <c r="B88" s="190"/>
      <c r="C88" s="191"/>
      <c r="D88" s="61" t="s">
        <v>25</v>
      </c>
      <c r="E88" s="60">
        <v>1500.98</v>
      </c>
      <c r="F88" s="60">
        <f t="shared" si="26"/>
        <v>0</v>
      </c>
      <c r="G88" s="60">
        <f t="shared" si="26"/>
        <v>0</v>
      </c>
      <c r="H88" s="60"/>
    </row>
    <row r="89" spans="1:8" x14ac:dyDescent="0.25">
      <c r="A89" s="195" t="s">
        <v>184</v>
      </c>
      <c r="B89" s="196"/>
      <c r="C89" s="197"/>
      <c r="D89" s="78" t="s">
        <v>71</v>
      </c>
      <c r="E89" s="79">
        <f>SUM(E90:E91)</f>
        <v>1500.85</v>
      </c>
      <c r="F89" s="79">
        <f>SUM(F90:F91)</f>
        <v>0</v>
      </c>
      <c r="G89" s="79">
        <f t="shared" ref="G89" si="27">SUM(G90:G91)</f>
        <v>0</v>
      </c>
      <c r="H89" s="79"/>
    </row>
    <row r="90" spans="1:8" x14ac:dyDescent="0.25">
      <c r="A90" s="201" t="s">
        <v>151</v>
      </c>
      <c r="B90" s="202"/>
      <c r="C90" s="203"/>
      <c r="D90" s="84" t="s">
        <v>70</v>
      </c>
      <c r="E90" s="73">
        <f>7978.8/E2</f>
        <v>1058.97</v>
      </c>
      <c r="F90" s="73">
        <v>0</v>
      </c>
      <c r="G90" s="73">
        <v>0</v>
      </c>
      <c r="H90" s="85"/>
    </row>
    <row r="91" spans="1:8" x14ac:dyDescent="0.25">
      <c r="A91" s="201" t="s">
        <v>152</v>
      </c>
      <c r="B91" s="202">
        <v>3213</v>
      </c>
      <c r="C91" s="203">
        <v>3213</v>
      </c>
      <c r="D91" s="84" t="s">
        <v>71</v>
      </c>
      <c r="E91" s="35">
        <f>3329.31/E2</f>
        <v>441.88</v>
      </c>
      <c r="F91" s="73">
        <v>0</v>
      </c>
      <c r="G91" s="73">
        <v>0</v>
      </c>
      <c r="H91" s="85"/>
    </row>
    <row r="92" spans="1:8" ht="14.25" customHeight="1" x14ac:dyDescent="0.25">
      <c r="A92" s="198" t="s">
        <v>72</v>
      </c>
      <c r="B92" s="199"/>
      <c r="C92" s="200"/>
      <c r="D92" s="38" t="s">
        <v>118</v>
      </c>
      <c r="E92" s="41">
        <v>530.89</v>
      </c>
      <c r="F92" s="41">
        <f>F93</f>
        <v>0</v>
      </c>
      <c r="G92" s="41">
        <f t="shared" ref="G92" si="28">G93</f>
        <v>0</v>
      </c>
      <c r="H92" s="41"/>
    </row>
    <row r="93" spans="1:8" ht="15" customHeight="1" x14ac:dyDescent="0.25">
      <c r="A93" s="183" t="s">
        <v>116</v>
      </c>
      <c r="B93" s="184"/>
      <c r="C93" s="185"/>
      <c r="D93" s="42" t="s">
        <v>15</v>
      </c>
      <c r="E93" s="42">
        <f>E94</f>
        <v>530.89</v>
      </c>
      <c r="F93" s="42">
        <f>F94</f>
        <v>0</v>
      </c>
      <c r="G93" s="42">
        <f t="shared" ref="G93" si="29">G94</f>
        <v>0</v>
      </c>
      <c r="H93" s="42"/>
    </row>
    <row r="94" spans="1:8" x14ac:dyDescent="0.25">
      <c r="A94" s="186">
        <v>3</v>
      </c>
      <c r="B94" s="187"/>
      <c r="C94" s="188"/>
      <c r="D94" s="39" t="s">
        <v>17</v>
      </c>
      <c r="E94" s="40">
        <f>E95</f>
        <v>530.89</v>
      </c>
      <c r="F94" s="40">
        <f>F95</f>
        <v>0</v>
      </c>
      <c r="G94" s="40">
        <f t="shared" ref="G94" si="30">G95</f>
        <v>0</v>
      </c>
      <c r="H94" s="40"/>
    </row>
    <row r="95" spans="1:8" x14ac:dyDescent="0.25">
      <c r="A95" s="189">
        <v>32</v>
      </c>
      <c r="B95" s="190"/>
      <c r="C95" s="191"/>
      <c r="D95" s="61" t="s">
        <v>25</v>
      </c>
      <c r="E95" s="60">
        <f>E96</f>
        <v>530.89</v>
      </c>
      <c r="F95" s="60">
        <f>F96</f>
        <v>0</v>
      </c>
      <c r="G95" s="60">
        <f t="shared" ref="G95" si="31">G96</f>
        <v>0</v>
      </c>
      <c r="H95" s="60"/>
    </row>
    <row r="96" spans="1:8" x14ac:dyDescent="0.25">
      <c r="A96" s="195" t="s">
        <v>184</v>
      </c>
      <c r="B96" s="196"/>
      <c r="C96" s="197"/>
      <c r="D96" s="78" t="s">
        <v>71</v>
      </c>
      <c r="E96" s="79">
        <f>E97</f>
        <v>530.89</v>
      </c>
      <c r="F96" s="79">
        <f>F97</f>
        <v>0</v>
      </c>
      <c r="G96" s="79">
        <f t="shared" ref="G96" si="32">G97</f>
        <v>0</v>
      </c>
      <c r="H96" s="79"/>
    </row>
    <row r="97" spans="1:8" x14ac:dyDescent="0.25">
      <c r="A97" s="201" t="s">
        <v>152</v>
      </c>
      <c r="B97" s="202"/>
      <c r="C97" s="203"/>
      <c r="D97" s="32" t="s">
        <v>71</v>
      </c>
      <c r="E97" s="73">
        <f>4000/E2</f>
        <v>530.89</v>
      </c>
      <c r="F97" s="73">
        <v>0</v>
      </c>
      <c r="G97" s="73">
        <v>0</v>
      </c>
      <c r="H97" s="85"/>
    </row>
    <row r="98" spans="1:8" ht="14.25" customHeight="1" x14ac:dyDescent="0.25">
      <c r="A98" s="198" t="s">
        <v>123</v>
      </c>
      <c r="B98" s="199"/>
      <c r="C98" s="200"/>
      <c r="D98" s="38" t="s">
        <v>122</v>
      </c>
      <c r="E98" s="41">
        <f>E99</f>
        <v>530.89</v>
      </c>
      <c r="F98" s="41">
        <f>F99</f>
        <v>530.88</v>
      </c>
      <c r="G98" s="41">
        <f>G99</f>
        <v>530.88</v>
      </c>
      <c r="H98" s="41">
        <f t="shared" ref="H98:H148" si="33">G98/F98*100</f>
        <v>100</v>
      </c>
    </row>
    <row r="99" spans="1:8" ht="15" customHeight="1" x14ac:dyDescent="0.25">
      <c r="A99" s="183" t="s">
        <v>116</v>
      </c>
      <c r="B99" s="184"/>
      <c r="C99" s="185"/>
      <c r="D99" s="42" t="s">
        <v>15</v>
      </c>
      <c r="E99" s="42">
        <f t="shared" ref="E99:F101" si="34">E100</f>
        <v>530.89</v>
      </c>
      <c r="F99" s="42">
        <f t="shared" si="34"/>
        <v>530.88</v>
      </c>
      <c r="G99" s="42">
        <f t="shared" ref="G99" si="35">G100</f>
        <v>530.88</v>
      </c>
      <c r="H99" s="42">
        <f t="shared" si="33"/>
        <v>100</v>
      </c>
    </row>
    <row r="100" spans="1:8" x14ac:dyDescent="0.25">
      <c r="A100" s="186">
        <v>3</v>
      </c>
      <c r="B100" s="187"/>
      <c r="C100" s="188"/>
      <c r="D100" s="39" t="s">
        <v>17</v>
      </c>
      <c r="E100" s="40">
        <f t="shared" si="34"/>
        <v>530.89</v>
      </c>
      <c r="F100" s="40">
        <f t="shared" si="34"/>
        <v>530.88</v>
      </c>
      <c r="G100" s="40">
        <f t="shared" ref="G100" si="36">G101</f>
        <v>530.88</v>
      </c>
      <c r="H100" s="40">
        <f t="shared" si="33"/>
        <v>100</v>
      </c>
    </row>
    <row r="101" spans="1:8" x14ac:dyDescent="0.25">
      <c r="A101" s="189">
        <v>32</v>
      </c>
      <c r="B101" s="190"/>
      <c r="C101" s="191"/>
      <c r="D101" s="61" t="s">
        <v>25</v>
      </c>
      <c r="E101" s="60">
        <f t="shared" si="34"/>
        <v>530.89</v>
      </c>
      <c r="F101" s="60">
        <f t="shared" si="34"/>
        <v>530.88</v>
      </c>
      <c r="G101" s="60">
        <f t="shared" ref="G101" si="37">G102</f>
        <v>530.88</v>
      </c>
      <c r="H101" s="60">
        <f t="shared" si="33"/>
        <v>100</v>
      </c>
    </row>
    <row r="102" spans="1:8" x14ac:dyDescent="0.25">
      <c r="A102" s="195" t="s">
        <v>193</v>
      </c>
      <c r="B102" s="196"/>
      <c r="C102" s="197"/>
      <c r="D102" s="78" t="s">
        <v>66</v>
      </c>
      <c r="E102" s="79">
        <f>SUM(E103:E104)</f>
        <v>530.89</v>
      </c>
      <c r="F102" s="79">
        <f>SUM(F103:F104)</f>
        <v>530.88</v>
      </c>
      <c r="G102" s="79">
        <f t="shared" ref="G102" si="38">SUM(G103:G104)</f>
        <v>530.88</v>
      </c>
      <c r="H102" s="79">
        <f t="shared" si="33"/>
        <v>100</v>
      </c>
    </row>
    <row r="103" spans="1:8" x14ac:dyDescent="0.25">
      <c r="A103" s="192" t="s">
        <v>196</v>
      </c>
      <c r="B103" s="193"/>
      <c r="C103" s="194"/>
      <c r="D103" s="32" t="s">
        <v>55</v>
      </c>
      <c r="E103" s="35">
        <v>0</v>
      </c>
      <c r="F103" s="35">
        <v>530.88</v>
      </c>
      <c r="G103" s="35">
        <v>530.88</v>
      </c>
      <c r="H103" s="36"/>
    </row>
    <row r="104" spans="1:8" x14ac:dyDescent="0.25">
      <c r="A104" s="192" t="s">
        <v>158</v>
      </c>
      <c r="B104" s="193"/>
      <c r="C104" s="194"/>
      <c r="D104" s="76" t="s">
        <v>56</v>
      </c>
      <c r="E104" s="35">
        <f>4000/E2</f>
        <v>530.89</v>
      </c>
      <c r="F104" s="35">
        <v>0</v>
      </c>
      <c r="G104" s="35">
        <v>0</v>
      </c>
      <c r="H104" s="36"/>
    </row>
    <row r="105" spans="1:8" ht="14.25" customHeight="1" x14ac:dyDescent="0.25">
      <c r="A105" s="198" t="s">
        <v>119</v>
      </c>
      <c r="B105" s="199"/>
      <c r="C105" s="200"/>
      <c r="D105" s="38" t="s">
        <v>120</v>
      </c>
      <c r="E105" s="41">
        <f>E106+E119</f>
        <v>13069.54</v>
      </c>
      <c r="F105" s="41">
        <f>F106+F119</f>
        <v>31097.77</v>
      </c>
      <c r="G105" s="41">
        <f>G106+G119</f>
        <v>31097.77</v>
      </c>
      <c r="H105" s="41">
        <f t="shared" si="33"/>
        <v>100</v>
      </c>
    </row>
    <row r="106" spans="1:8" ht="15" customHeight="1" x14ac:dyDescent="0.25">
      <c r="A106" s="183" t="s">
        <v>116</v>
      </c>
      <c r="B106" s="184"/>
      <c r="C106" s="185"/>
      <c r="D106" s="42" t="s">
        <v>15</v>
      </c>
      <c r="E106" s="42">
        <f>E107</f>
        <v>1960.43</v>
      </c>
      <c r="F106" s="42">
        <f>F107</f>
        <v>4664.67</v>
      </c>
      <c r="G106" s="42">
        <f>G107</f>
        <v>4664.67</v>
      </c>
      <c r="H106" s="42">
        <f t="shared" si="33"/>
        <v>100</v>
      </c>
    </row>
    <row r="107" spans="1:8" x14ac:dyDescent="0.25">
      <c r="A107" s="186">
        <v>3</v>
      </c>
      <c r="B107" s="187"/>
      <c r="C107" s="188"/>
      <c r="D107" s="39" t="s">
        <v>17</v>
      </c>
      <c r="E107" s="40">
        <f>E108+E115</f>
        <v>1960.43</v>
      </c>
      <c r="F107" s="149">
        <f>F108+F115</f>
        <v>4664.67</v>
      </c>
      <c r="G107" s="40">
        <f>G108+G115</f>
        <v>4664.67</v>
      </c>
      <c r="H107" s="40">
        <f t="shared" si="33"/>
        <v>100</v>
      </c>
    </row>
    <row r="108" spans="1:8" x14ac:dyDescent="0.25">
      <c r="A108" s="189">
        <v>31</v>
      </c>
      <c r="B108" s="190"/>
      <c r="C108" s="191"/>
      <c r="D108" s="61" t="s">
        <v>18</v>
      </c>
      <c r="E108" s="60">
        <f>E109+E111+E113</f>
        <v>1835.95</v>
      </c>
      <c r="F108" s="150">
        <f>F109+F111+F113</f>
        <v>4415.34</v>
      </c>
      <c r="G108" s="60">
        <f>G109+G111+G113</f>
        <v>4415.34</v>
      </c>
      <c r="H108" s="60">
        <f t="shared" si="33"/>
        <v>100</v>
      </c>
    </row>
    <row r="109" spans="1:8" x14ac:dyDescent="0.25">
      <c r="A109" s="195" t="s">
        <v>179</v>
      </c>
      <c r="B109" s="196"/>
      <c r="C109" s="197"/>
      <c r="D109" s="78" t="s">
        <v>244</v>
      </c>
      <c r="E109" s="79">
        <f>E110</f>
        <v>1366.58</v>
      </c>
      <c r="F109" s="88">
        <f>F110</f>
        <v>3519.6</v>
      </c>
      <c r="G109" s="79">
        <f>G110</f>
        <v>3519.6</v>
      </c>
      <c r="H109" s="79">
        <f t="shared" si="33"/>
        <v>100</v>
      </c>
    </row>
    <row r="110" spans="1:8" x14ac:dyDescent="0.25">
      <c r="A110" s="192" t="s">
        <v>153</v>
      </c>
      <c r="B110" s="193"/>
      <c r="C110" s="194"/>
      <c r="D110" s="32" t="s">
        <v>74</v>
      </c>
      <c r="E110" s="35">
        <f>10296.51/E2</f>
        <v>1366.58</v>
      </c>
      <c r="F110" s="148">
        <v>3519.6</v>
      </c>
      <c r="G110" s="35">
        <v>3519.6</v>
      </c>
      <c r="H110" s="36"/>
    </row>
    <row r="111" spans="1:8" x14ac:dyDescent="0.25">
      <c r="A111" s="195" t="s">
        <v>180</v>
      </c>
      <c r="B111" s="196"/>
      <c r="C111" s="197"/>
      <c r="D111" s="78" t="s">
        <v>245</v>
      </c>
      <c r="E111" s="79">
        <f>E112</f>
        <v>243.88</v>
      </c>
      <c r="F111" s="88">
        <f>F112</f>
        <v>315</v>
      </c>
      <c r="G111" s="79">
        <v>315</v>
      </c>
      <c r="H111" s="79">
        <f t="shared" si="33"/>
        <v>100</v>
      </c>
    </row>
    <row r="112" spans="1:8" x14ac:dyDescent="0.25">
      <c r="A112" s="192" t="s">
        <v>154</v>
      </c>
      <c r="B112" s="193"/>
      <c r="C112" s="194"/>
      <c r="D112" s="32" t="s">
        <v>75</v>
      </c>
      <c r="E112" s="35">
        <f>1837.5/E2</f>
        <v>243.88</v>
      </c>
      <c r="F112" s="148">
        <v>315</v>
      </c>
      <c r="G112" s="35">
        <v>315</v>
      </c>
      <c r="H112" s="36"/>
    </row>
    <row r="113" spans="1:8" x14ac:dyDescent="0.25">
      <c r="A113" s="195" t="s">
        <v>181</v>
      </c>
      <c r="B113" s="196"/>
      <c r="C113" s="197"/>
      <c r="D113" s="78" t="s">
        <v>76</v>
      </c>
      <c r="E113" s="79">
        <f>E114</f>
        <v>225.49</v>
      </c>
      <c r="F113" s="88">
        <f>F114</f>
        <v>580.74</v>
      </c>
      <c r="G113" s="79">
        <f>G114</f>
        <v>580.74</v>
      </c>
      <c r="H113" s="79">
        <f t="shared" si="33"/>
        <v>100</v>
      </c>
    </row>
    <row r="114" spans="1:8" x14ac:dyDescent="0.25">
      <c r="A114" s="192" t="s">
        <v>155</v>
      </c>
      <c r="B114" s="193"/>
      <c r="C114" s="194"/>
      <c r="D114" s="32" t="s">
        <v>77</v>
      </c>
      <c r="E114" s="35">
        <f>1698.92/E2</f>
        <v>225.49</v>
      </c>
      <c r="F114" s="148">
        <v>580.74</v>
      </c>
      <c r="G114" s="35">
        <v>580.74</v>
      </c>
      <c r="H114" s="36"/>
    </row>
    <row r="115" spans="1:8" x14ac:dyDescent="0.25">
      <c r="A115" s="189">
        <v>32</v>
      </c>
      <c r="B115" s="190"/>
      <c r="C115" s="191"/>
      <c r="D115" s="61" t="s">
        <v>25</v>
      </c>
      <c r="E115" s="60">
        <f>E116</f>
        <v>124.48</v>
      </c>
      <c r="F115" s="150">
        <f>F116</f>
        <v>249.33</v>
      </c>
      <c r="G115" s="60">
        <f>G116</f>
        <v>249.33</v>
      </c>
      <c r="H115" s="60">
        <f t="shared" si="33"/>
        <v>100</v>
      </c>
    </row>
    <row r="116" spans="1:8" x14ac:dyDescent="0.25">
      <c r="A116" s="195" t="s">
        <v>183</v>
      </c>
      <c r="B116" s="196"/>
      <c r="C116" s="197"/>
      <c r="D116" s="78" t="s">
        <v>78</v>
      </c>
      <c r="E116" s="79">
        <f>SUM(E117:E118)</f>
        <v>124.48</v>
      </c>
      <c r="F116" s="79">
        <f>SUM(F117:F118)</f>
        <v>249.33</v>
      </c>
      <c r="G116" s="79">
        <f>SUM(G117:G118)</f>
        <v>249.33</v>
      </c>
      <c r="H116" s="79">
        <f t="shared" si="33"/>
        <v>100</v>
      </c>
    </row>
    <row r="117" spans="1:8" x14ac:dyDescent="0.25">
      <c r="A117" s="192" t="s">
        <v>156</v>
      </c>
      <c r="B117" s="193"/>
      <c r="C117" s="194"/>
      <c r="D117" s="32" t="s">
        <v>44</v>
      </c>
      <c r="E117" s="35">
        <f>27.9/E2</f>
        <v>3.7</v>
      </c>
      <c r="F117" s="148">
        <v>15.92</v>
      </c>
      <c r="G117" s="35">
        <v>15.92</v>
      </c>
      <c r="H117" s="36"/>
    </row>
    <row r="118" spans="1:8" x14ac:dyDescent="0.25">
      <c r="A118" s="192" t="s">
        <v>157</v>
      </c>
      <c r="B118" s="193"/>
      <c r="C118" s="194"/>
      <c r="D118" s="32" t="s">
        <v>79</v>
      </c>
      <c r="E118" s="35">
        <f>910.03/E2</f>
        <v>120.78</v>
      </c>
      <c r="F118" s="148">
        <v>233.41</v>
      </c>
      <c r="G118" s="35">
        <v>233.41</v>
      </c>
      <c r="H118" s="36"/>
    </row>
    <row r="119" spans="1:8" ht="15" customHeight="1" x14ac:dyDescent="0.25">
      <c r="A119" s="183" t="s">
        <v>235</v>
      </c>
      <c r="B119" s="184"/>
      <c r="C119" s="185"/>
      <c r="D119" s="42" t="s">
        <v>121</v>
      </c>
      <c r="E119" s="42">
        <f>E120</f>
        <v>11109.11</v>
      </c>
      <c r="F119" s="42">
        <f>F120</f>
        <v>26433.1</v>
      </c>
      <c r="G119" s="42">
        <f>G120</f>
        <v>26433.1</v>
      </c>
      <c r="H119" s="42">
        <f t="shared" si="33"/>
        <v>100</v>
      </c>
    </row>
    <row r="120" spans="1:8" x14ac:dyDescent="0.25">
      <c r="A120" s="186">
        <v>3</v>
      </c>
      <c r="B120" s="187"/>
      <c r="C120" s="188"/>
      <c r="D120" s="39" t="s">
        <v>17</v>
      </c>
      <c r="E120" s="40">
        <f>E121+E128</f>
        <v>11109.11</v>
      </c>
      <c r="F120" s="40">
        <f>F121+F128</f>
        <v>26433.1</v>
      </c>
      <c r="G120" s="40">
        <f>G121+G128</f>
        <v>26433.1</v>
      </c>
      <c r="H120" s="40">
        <f t="shared" si="33"/>
        <v>100</v>
      </c>
    </row>
    <row r="121" spans="1:8" x14ac:dyDescent="0.25">
      <c r="A121" s="189">
        <v>31</v>
      </c>
      <c r="B121" s="190"/>
      <c r="C121" s="191"/>
      <c r="D121" s="61" t="s">
        <v>18</v>
      </c>
      <c r="E121" s="60">
        <f>E122+E124+E126</f>
        <v>10403.700000000001</v>
      </c>
      <c r="F121" s="60">
        <f>F122+F124+F126</f>
        <v>25020.17</v>
      </c>
      <c r="G121" s="60">
        <f>G122+G124+G126</f>
        <v>25020.17</v>
      </c>
      <c r="H121" s="60">
        <f t="shared" si="33"/>
        <v>100</v>
      </c>
    </row>
    <row r="122" spans="1:8" x14ac:dyDescent="0.25">
      <c r="A122" s="195" t="s">
        <v>179</v>
      </c>
      <c r="B122" s="196"/>
      <c r="C122" s="197"/>
      <c r="D122" s="78" t="s">
        <v>244</v>
      </c>
      <c r="E122" s="79">
        <f>E123</f>
        <v>7743.96</v>
      </c>
      <c r="F122" s="79">
        <f>F123</f>
        <v>19944.3</v>
      </c>
      <c r="G122" s="79">
        <f>G123</f>
        <v>19944.3</v>
      </c>
      <c r="H122" s="79">
        <f t="shared" si="33"/>
        <v>100</v>
      </c>
    </row>
    <row r="123" spans="1:8" x14ac:dyDescent="0.25">
      <c r="A123" s="192" t="s">
        <v>153</v>
      </c>
      <c r="B123" s="193"/>
      <c r="C123" s="194"/>
      <c r="D123" s="32" t="s">
        <v>74</v>
      </c>
      <c r="E123" s="35">
        <f>58346.86/7.5345</f>
        <v>7743.96</v>
      </c>
      <c r="F123" s="35">
        <v>19944.3</v>
      </c>
      <c r="G123" s="35">
        <v>19944.3</v>
      </c>
      <c r="H123" s="36"/>
    </row>
    <row r="124" spans="1:8" x14ac:dyDescent="0.25">
      <c r="A124" s="195" t="s">
        <v>180</v>
      </c>
      <c r="B124" s="196"/>
      <c r="C124" s="197"/>
      <c r="D124" s="78" t="s">
        <v>245</v>
      </c>
      <c r="E124" s="79">
        <f>E125</f>
        <v>1381.98</v>
      </c>
      <c r="F124" s="79">
        <f>F125</f>
        <v>1785</v>
      </c>
      <c r="G124" s="79">
        <f>G125</f>
        <v>1785</v>
      </c>
      <c r="H124" s="79">
        <f t="shared" si="33"/>
        <v>100</v>
      </c>
    </row>
    <row r="125" spans="1:8" x14ac:dyDescent="0.25">
      <c r="A125" s="192" t="s">
        <v>154</v>
      </c>
      <c r="B125" s="193"/>
      <c r="C125" s="194"/>
      <c r="D125" s="32" t="s">
        <v>75</v>
      </c>
      <c r="E125" s="35">
        <f>10412.5/E2</f>
        <v>1381.98</v>
      </c>
      <c r="F125" s="35">
        <v>1785</v>
      </c>
      <c r="G125" s="35">
        <v>1785</v>
      </c>
      <c r="H125" s="36"/>
    </row>
    <row r="126" spans="1:8" x14ac:dyDescent="0.25">
      <c r="A126" s="195" t="s">
        <v>181</v>
      </c>
      <c r="B126" s="196"/>
      <c r="C126" s="197"/>
      <c r="D126" s="78" t="s">
        <v>76</v>
      </c>
      <c r="E126" s="79">
        <f>E127</f>
        <v>1277.76</v>
      </c>
      <c r="F126" s="79">
        <f>F127</f>
        <v>3290.87</v>
      </c>
      <c r="G126" s="79">
        <f>G127</f>
        <v>3290.87</v>
      </c>
      <c r="H126" s="79">
        <f t="shared" si="33"/>
        <v>100</v>
      </c>
    </row>
    <row r="127" spans="1:8" x14ac:dyDescent="0.25">
      <c r="A127" s="192" t="s">
        <v>155</v>
      </c>
      <c r="B127" s="193"/>
      <c r="C127" s="194"/>
      <c r="D127" s="32" t="s">
        <v>77</v>
      </c>
      <c r="E127" s="35">
        <f>9627.25/E2</f>
        <v>1277.76</v>
      </c>
      <c r="F127" s="35">
        <v>3290.87</v>
      </c>
      <c r="G127" s="35">
        <v>3290.87</v>
      </c>
      <c r="H127" s="36"/>
    </row>
    <row r="128" spans="1:8" x14ac:dyDescent="0.25">
      <c r="A128" s="189">
        <v>32</v>
      </c>
      <c r="B128" s="190"/>
      <c r="C128" s="191"/>
      <c r="D128" s="61" t="s">
        <v>25</v>
      </c>
      <c r="E128" s="60">
        <f>E129</f>
        <v>705.41</v>
      </c>
      <c r="F128" s="60">
        <f>F129</f>
        <v>1412.93</v>
      </c>
      <c r="G128" s="60">
        <f>G129</f>
        <v>1412.93</v>
      </c>
      <c r="H128" s="60">
        <f t="shared" si="33"/>
        <v>100</v>
      </c>
    </row>
    <row r="129" spans="1:8" x14ac:dyDescent="0.25">
      <c r="A129" s="195" t="s">
        <v>183</v>
      </c>
      <c r="B129" s="196"/>
      <c r="C129" s="197"/>
      <c r="D129" s="78" t="s">
        <v>78</v>
      </c>
      <c r="E129" s="79">
        <f>SUM(E130:E131)</f>
        <v>705.41</v>
      </c>
      <c r="F129" s="79">
        <f>SUM(F130:F131)</f>
        <v>1412.93</v>
      </c>
      <c r="G129" s="79">
        <f>SUM(G130:G131)</f>
        <v>1412.93</v>
      </c>
      <c r="H129" s="79">
        <f t="shared" si="33"/>
        <v>100</v>
      </c>
    </row>
    <row r="130" spans="1:8" x14ac:dyDescent="0.25">
      <c r="A130" s="192" t="s">
        <v>156</v>
      </c>
      <c r="B130" s="193"/>
      <c r="C130" s="194"/>
      <c r="D130" s="32" t="s">
        <v>44</v>
      </c>
      <c r="E130" s="35">
        <f>158.1/E2</f>
        <v>20.98</v>
      </c>
      <c r="F130" s="35">
        <v>90.28</v>
      </c>
      <c r="G130" s="35">
        <v>90.28</v>
      </c>
      <c r="H130" s="36"/>
    </row>
    <row r="131" spans="1:8" x14ac:dyDescent="0.25">
      <c r="A131" s="192" t="s">
        <v>157</v>
      </c>
      <c r="B131" s="193"/>
      <c r="C131" s="194"/>
      <c r="D131" s="32" t="s">
        <v>79</v>
      </c>
      <c r="E131" s="35">
        <f>5156.81/E2</f>
        <v>684.43</v>
      </c>
      <c r="F131" s="35">
        <v>1322.65</v>
      </c>
      <c r="G131" s="35">
        <v>1322.65</v>
      </c>
      <c r="H131" s="36"/>
    </row>
    <row r="132" spans="1:8" ht="14.25" customHeight="1" x14ac:dyDescent="0.25">
      <c r="A132" s="198" t="s">
        <v>232</v>
      </c>
      <c r="B132" s="199"/>
      <c r="C132" s="200"/>
      <c r="D132" s="38" t="s">
        <v>231</v>
      </c>
      <c r="E132" s="41">
        <f>E133+E146</f>
        <v>0</v>
      </c>
      <c r="F132" s="41">
        <f>F133+F146</f>
        <v>25515.03</v>
      </c>
      <c r="G132" s="41">
        <f>G133+G146</f>
        <v>20643.41</v>
      </c>
      <c r="H132" s="41">
        <f t="shared" si="33"/>
        <v>80.91</v>
      </c>
    </row>
    <row r="133" spans="1:8" ht="15" customHeight="1" x14ac:dyDescent="0.25">
      <c r="A133" s="183" t="s">
        <v>116</v>
      </c>
      <c r="B133" s="184"/>
      <c r="C133" s="185"/>
      <c r="D133" s="42" t="s">
        <v>15</v>
      </c>
      <c r="E133" s="42">
        <f>E134</f>
        <v>0</v>
      </c>
      <c r="F133" s="42">
        <f>F134</f>
        <v>3827.27</v>
      </c>
      <c r="G133" s="42">
        <f>G134</f>
        <v>3096.51</v>
      </c>
      <c r="H133" s="42">
        <f t="shared" si="33"/>
        <v>80.91</v>
      </c>
    </row>
    <row r="134" spans="1:8" x14ac:dyDescent="0.25">
      <c r="A134" s="186">
        <v>3</v>
      </c>
      <c r="B134" s="187"/>
      <c r="C134" s="188"/>
      <c r="D134" s="69" t="s">
        <v>17</v>
      </c>
      <c r="E134" s="40">
        <f>E135+E142</f>
        <v>0</v>
      </c>
      <c r="F134" s="40">
        <f>F135+F142</f>
        <v>3827.27</v>
      </c>
      <c r="G134" s="40">
        <f>G135+G142</f>
        <v>3096.51</v>
      </c>
      <c r="H134" s="40">
        <f t="shared" si="33"/>
        <v>80.91</v>
      </c>
    </row>
    <row r="135" spans="1:8" x14ac:dyDescent="0.25">
      <c r="A135" s="189">
        <v>31</v>
      </c>
      <c r="B135" s="190"/>
      <c r="C135" s="191"/>
      <c r="D135" s="61" t="s">
        <v>18</v>
      </c>
      <c r="E135" s="60">
        <f>E136+E138+E140</f>
        <v>0</v>
      </c>
      <c r="F135" s="60">
        <f>F136+F138+F140</f>
        <v>3567.94</v>
      </c>
      <c r="G135" s="60">
        <f>G136+G138+G140</f>
        <v>2906.47</v>
      </c>
      <c r="H135" s="60">
        <f t="shared" si="33"/>
        <v>81.459999999999994</v>
      </c>
    </row>
    <row r="136" spans="1:8" x14ac:dyDescent="0.25">
      <c r="A136" s="195" t="s">
        <v>179</v>
      </c>
      <c r="B136" s="196"/>
      <c r="C136" s="197"/>
      <c r="D136" s="78" t="s">
        <v>244</v>
      </c>
      <c r="E136" s="79">
        <f>E137</f>
        <v>0</v>
      </c>
      <c r="F136" s="79">
        <f>F137</f>
        <v>2882.35</v>
      </c>
      <c r="G136" s="79">
        <f>G137</f>
        <v>2095.6799999999998</v>
      </c>
      <c r="H136" s="79">
        <f t="shared" si="33"/>
        <v>72.709999999999994</v>
      </c>
    </row>
    <row r="137" spans="1:8" x14ac:dyDescent="0.25">
      <c r="A137" s="192" t="s">
        <v>153</v>
      </c>
      <c r="B137" s="193"/>
      <c r="C137" s="194"/>
      <c r="D137" s="32" t="s">
        <v>74</v>
      </c>
      <c r="E137" s="35"/>
      <c r="F137" s="73">
        <v>2882.35</v>
      </c>
      <c r="G137" s="73">
        <v>2095.6799999999998</v>
      </c>
      <c r="H137" s="36"/>
    </row>
    <row r="138" spans="1:8" x14ac:dyDescent="0.25">
      <c r="A138" s="195" t="s">
        <v>180</v>
      </c>
      <c r="B138" s="196"/>
      <c r="C138" s="197"/>
      <c r="D138" s="78" t="s">
        <v>245</v>
      </c>
      <c r="E138" s="79">
        <f>E139</f>
        <v>0</v>
      </c>
      <c r="F138" s="79">
        <f>F139</f>
        <v>210</v>
      </c>
      <c r="G138" s="79">
        <f>G139</f>
        <v>465</v>
      </c>
      <c r="H138" s="79">
        <f t="shared" si="33"/>
        <v>221.43</v>
      </c>
    </row>
    <row r="139" spans="1:8" x14ac:dyDescent="0.25">
      <c r="A139" s="192" t="s">
        <v>154</v>
      </c>
      <c r="B139" s="193"/>
      <c r="C139" s="194"/>
      <c r="D139" s="32" t="s">
        <v>75</v>
      </c>
      <c r="E139" s="35"/>
      <c r="F139" s="73">
        <v>210</v>
      </c>
      <c r="G139" s="73">
        <v>465</v>
      </c>
      <c r="H139" s="36"/>
    </row>
    <row r="140" spans="1:8" x14ac:dyDescent="0.25">
      <c r="A140" s="195" t="s">
        <v>181</v>
      </c>
      <c r="B140" s="196"/>
      <c r="C140" s="197"/>
      <c r="D140" s="78" t="s">
        <v>76</v>
      </c>
      <c r="E140" s="79">
        <f>E141</f>
        <v>0</v>
      </c>
      <c r="F140" s="79">
        <f>F141</f>
        <v>475.59</v>
      </c>
      <c r="G140" s="79">
        <f>G141</f>
        <v>345.79</v>
      </c>
      <c r="H140" s="79">
        <f t="shared" si="33"/>
        <v>72.709999999999994</v>
      </c>
    </row>
    <row r="141" spans="1:8" x14ac:dyDescent="0.25">
      <c r="A141" s="192" t="s">
        <v>155</v>
      </c>
      <c r="B141" s="193"/>
      <c r="C141" s="194"/>
      <c r="D141" s="32" t="s">
        <v>77</v>
      </c>
      <c r="E141" s="35"/>
      <c r="F141" s="73">
        <v>475.59</v>
      </c>
      <c r="G141" s="73">
        <v>345.79</v>
      </c>
      <c r="H141" s="36"/>
    </row>
    <row r="142" spans="1:8" x14ac:dyDescent="0.25">
      <c r="A142" s="189">
        <v>32</v>
      </c>
      <c r="B142" s="190"/>
      <c r="C142" s="191"/>
      <c r="D142" s="61" t="s">
        <v>25</v>
      </c>
      <c r="E142" s="60">
        <f>E143</f>
        <v>0</v>
      </c>
      <c r="F142" s="60">
        <f>F143</f>
        <v>259.33</v>
      </c>
      <c r="G142" s="60">
        <f>G143</f>
        <v>190.04</v>
      </c>
      <c r="H142" s="60">
        <f t="shared" si="33"/>
        <v>73.28</v>
      </c>
    </row>
    <row r="143" spans="1:8" x14ac:dyDescent="0.25">
      <c r="A143" s="195" t="s">
        <v>183</v>
      </c>
      <c r="B143" s="196"/>
      <c r="C143" s="197"/>
      <c r="D143" s="78" t="s">
        <v>78</v>
      </c>
      <c r="E143" s="79">
        <f>SUM(E144:E145)</f>
        <v>0</v>
      </c>
      <c r="F143" s="79">
        <f>SUM(F144:F145)</f>
        <v>259.33</v>
      </c>
      <c r="G143" s="79">
        <f>SUM(G144:G145)</f>
        <v>190.04</v>
      </c>
      <c r="H143" s="79">
        <f t="shared" si="33"/>
        <v>73.28</v>
      </c>
    </row>
    <row r="144" spans="1:8" x14ac:dyDescent="0.25">
      <c r="A144" s="192" t="s">
        <v>156</v>
      </c>
      <c r="B144" s="193"/>
      <c r="C144" s="194"/>
      <c r="D144" s="32" t="s">
        <v>44</v>
      </c>
      <c r="E144" s="35"/>
      <c r="F144" s="73">
        <v>0</v>
      </c>
      <c r="G144" s="73">
        <v>180.67</v>
      </c>
      <c r="H144" s="36"/>
    </row>
    <row r="145" spans="1:8" x14ac:dyDescent="0.25">
      <c r="A145" s="192" t="s">
        <v>157</v>
      </c>
      <c r="B145" s="193"/>
      <c r="C145" s="194"/>
      <c r="D145" s="32" t="s">
        <v>79</v>
      </c>
      <c r="E145" s="35"/>
      <c r="F145" s="73">
        <v>259.33</v>
      </c>
      <c r="G145" s="73">
        <v>9.3699999999999992</v>
      </c>
      <c r="H145" s="36"/>
    </row>
    <row r="146" spans="1:8" ht="15" customHeight="1" x14ac:dyDescent="0.25">
      <c r="A146" s="183" t="s">
        <v>235</v>
      </c>
      <c r="B146" s="184"/>
      <c r="C146" s="185"/>
      <c r="D146" s="42" t="s">
        <v>121</v>
      </c>
      <c r="E146" s="42">
        <f>E147</f>
        <v>0</v>
      </c>
      <c r="F146" s="42">
        <f>F147</f>
        <v>21687.759999999998</v>
      </c>
      <c r="G146" s="42">
        <f>G147</f>
        <v>17546.900000000001</v>
      </c>
      <c r="H146" s="42">
        <f t="shared" si="33"/>
        <v>80.91</v>
      </c>
    </row>
    <row r="147" spans="1:8" x14ac:dyDescent="0.25">
      <c r="A147" s="186">
        <v>3</v>
      </c>
      <c r="B147" s="187"/>
      <c r="C147" s="188"/>
      <c r="D147" s="69" t="s">
        <v>17</v>
      </c>
      <c r="E147" s="40">
        <f>E148+E155</f>
        <v>0</v>
      </c>
      <c r="F147" s="40">
        <f>F148+F155</f>
        <v>21687.759999999998</v>
      </c>
      <c r="G147" s="40">
        <f>G148+G155</f>
        <v>17546.900000000001</v>
      </c>
      <c r="H147" s="40">
        <f t="shared" si="33"/>
        <v>80.91</v>
      </c>
    </row>
    <row r="148" spans="1:8" x14ac:dyDescent="0.25">
      <c r="A148" s="189">
        <v>31</v>
      </c>
      <c r="B148" s="190"/>
      <c r="C148" s="191"/>
      <c r="D148" s="61" t="s">
        <v>18</v>
      </c>
      <c r="E148" s="60">
        <f>E149+E151+E153</f>
        <v>0</v>
      </c>
      <c r="F148" s="60">
        <f>F149+F151+F153</f>
        <v>20218.3</v>
      </c>
      <c r="G148" s="60">
        <f>G149+G151+G153</f>
        <v>16470</v>
      </c>
      <c r="H148" s="60">
        <f t="shared" si="33"/>
        <v>81.459999999999994</v>
      </c>
    </row>
    <row r="149" spans="1:8" x14ac:dyDescent="0.25">
      <c r="A149" s="195" t="s">
        <v>179</v>
      </c>
      <c r="B149" s="196"/>
      <c r="C149" s="197"/>
      <c r="D149" s="78" t="s">
        <v>244</v>
      </c>
      <c r="E149" s="79">
        <f>E150</f>
        <v>0</v>
      </c>
      <c r="F149" s="79">
        <f>F150</f>
        <v>16333.3</v>
      </c>
      <c r="G149" s="79">
        <f>G150</f>
        <v>11875.53</v>
      </c>
      <c r="H149" s="79">
        <f t="shared" ref="H149:H251" si="39">G149/F149*100</f>
        <v>72.709999999999994</v>
      </c>
    </row>
    <row r="150" spans="1:8" x14ac:dyDescent="0.25">
      <c r="A150" s="192" t="s">
        <v>153</v>
      </c>
      <c r="B150" s="193"/>
      <c r="C150" s="194"/>
      <c r="D150" s="32" t="s">
        <v>74</v>
      </c>
      <c r="E150" s="35"/>
      <c r="F150" s="73">
        <v>16333.3</v>
      </c>
      <c r="G150" s="73">
        <v>11875.53</v>
      </c>
      <c r="H150" s="36"/>
    </row>
    <row r="151" spans="1:8" x14ac:dyDescent="0.25">
      <c r="A151" s="195" t="s">
        <v>180</v>
      </c>
      <c r="B151" s="196"/>
      <c r="C151" s="197"/>
      <c r="D151" s="78" t="s">
        <v>245</v>
      </c>
      <c r="E151" s="79">
        <f>E152</f>
        <v>0</v>
      </c>
      <c r="F151" s="79">
        <f>F152</f>
        <v>1190</v>
      </c>
      <c r="G151" s="79">
        <f>G152</f>
        <v>2635</v>
      </c>
      <c r="H151" s="79">
        <f t="shared" si="39"/>
        <v>221.43</v>
      </c>
    </row>
    <row r="152" spans="1:8" x14ac:dyDescent="0.25">
      <c r="A152" s="192" t="s">
        <v>154</v>
      </c>
      <c r="B152" s="193"/>
      <c r="C152" s="194"/>
      <c r="D152" s="32" t="s">
        <v>75</v>
      </c>
      <c r="E152" s="35"/>
      <c r="F152" s="73">
        <v>1190</v>
      </c>
      <c r="G152" s="73">
        <v>2635</v>
      </c>
      <c r="H152" s="36"/>
    </row>
    <row r="153" spans="1:8" x14ac:dyDescent="0.25">
      <c r="A153" s="195" t="s">
        <v>181</v>
      </c>
      <c r="B153" s="196"/>
      <c r="C153" s="197"/>
      <c r="D153" s="78" t="s">
        <v>76</v>
      </c>
      <c r="E153" s="79">
        <f>E154</f>
        <v>0</v>
      </c>
      <c r="F153" s="79">
        <f>F154</f>
        <v>2695</v>
      </c>
      <c r="G153" s="79">
        <f>G154</f>
        <v>1959.47</v>
      </c>
      <c r="H153" s="79">
        <f t="shared" si="39"/>
        <v>72.709999999999994</v>
      </c>
    </row>
    <row r="154" spans="1:8" x14ac:dyDescent="0.25">
      <c r="A154" s="192" t="s">
        <v>155</v>
      </c>
      <c r="B154" s="193"/>
      <c r="C154" s="194"/>
      <c r="D154" s="32" t="s">
        <v>77</v>
      </c>
      <c r="E154" s="35"/>
      <c r="F154" s="73">
        <v>2695</v>
      </c>
      <c r="G154" s="73">
        <v>1959.47</v>
      </c>
      <c r="H154" s="36"/>
    </row>
    <row r="155" spans="1:8" x14ac:dyDescent="0.25">
      <c r="A155" s="189">
        <v>32</v>
      </c>
      <c r="B155" s="190"/>
      <c r="C155" s="191"/>
      <c r="D155" s="61" t="s">
        <v>25</v>
      </c>
      <c r="E155" s="87">
        <f>E156</f>
        <v>0</v>
      </c>
      <c r="F155" s="87">
        <f>F156</f>
        <v>1469.46</v>
      </c>
      <c r="G155" s="53">
        <f>G156</f>
        <v>1076.9000000000001</v>
      </c>
      <c r="H155" s="60">
        <f t="shared" si="39"/>
        <v>73.290000000000006</v>
      </c>
    </row>
    <row r="156" spans="1:8" x14ac:dyDescent="0.25">
      <c r="A156" s="195" t="s">
        <v>183</v>
      </c>
      <c r="B156" s="196"/>
      <c r="C156" s="197"/>
      <c r="D156" s="78" t="s">
        <v>78</v>
      </c>
      <c r="E156" s="79">
        <f>E157+E158</f>
        <v>0</v>
      </c>
      <c r="F156" s="79">
        <f>F157+F158</f>
        <v>1469.46</v>
      </c>
      <c r="G156" s="79">
        <f>G157+G158</f>
        <v>1076.9000000000001</v>
      </c>
      <c r="H156" s="79">
        <f t="shared" si="39"/>
        <v>73.290000000000006</v>
      </c>
    </row>
    <row r="157" spans="1:8" x14ac:dyDescent="0.25">
      <c r="A157" s="192" t="s">
        <v>156</v>
      </c>
      <c r="B157" s="193"/>
      <c r="C157" s="194"/>
      <c r="D157" s="32" t="s">
        <v>44</v>
      </c>
      <c r="E157" s="35"/>
      <c r="F157" s="89">
        <v>0</v>
      </c>
      <c r="G157" s="89">
        <v>1023.75</v>
      </c>
      <c r="H157" s="36"/>
    </row>
    <row r="158" spans="1:8" x14ac:dyDescent="0.25">
      <c r="A158" s="192" t="s">
        <v>157</v>
      </c>
      <c r="B158" s="193"/>
      <c r="C158" s="194"/>
      <c r="D158" s="32" t="s">
        <v>79</v>
      </c>
      <c r="E158" s="35"/>
      <c r="F158" s="89">
        <v>1469.46</v>
      </c>
      <c r="G158" s="89">
        <v>53.15</v>
      </c>
      <c r="H158" s="36"/>
    </row>
    <row r="159" spans="1:8" ht="14.25" customHeight="1" x14ac:dyDescent="0.25">
      <c r="A159" s="198" t="s">
        <v>385</v>
      </c>
      <c r="B159" s="199"/>
      <c r="C159" s="200"/>
      <c r="D159" s="38" t="s">
        <v>386</v>
      </c>
      <c r="E159" s="41">
        <f>E160+E173</f>
        <v>24851.81</v>
      </c>
      <c r="F159" s="41">
        <f>F160+F173</f>
        <v>0</v>
      </c>
      <c r="G159" s="41">
        <f>G160+G173</f>
        <v>0</v>
      </c>
      <c r="H159" s="41"/>
    </row>
    <row r="160" spans="1:8" ht="15" customHeight="1" x14ac:dyDescent="0.25">
      <c r="A160" s="183" t="s">
        <v>116</v>
      </c>
      <c r="B160" s="184"/>
      <c r="C160" s="185"/>
      <c r="D160" s="42" t="s">
        <v>15</v>
      </c>
      <c r="E160" s="42">
        <f>E161</f>
        <v>3727.77</v>
      </c>
      <c r="F160" s="42">
        <f>F161</f>
        <v>0</v>
      </c>
      <c r="G160" s="42">
        <f>G161</f>
        <v>0</v>
      </c>
      <c r="H160" s="42"/>
    </row>
    <row r="161" spans="1:8" x14ac:dyDescent="0.25">
      <c r="A161" s="186">
        <v>3</v>
      </c>
      <c r="B161" s="187"/>
      <c r="C161" s="188"/>
      <c r="D161" s="151" t="s">
        <v>17</v>
      </c>
      <c r="E161" s="40">
        <f>E162+E169</f>
        <v>3727.77</v>
      </c>
      <c r="F161" s="40">
        <f>F162+F169</f>
        <v>0</v>
      </c>
      <c r="G161" s="40">
        <f>G162+G169</f>
        <v>0</v>
      </c>
      <c r="H161" s="40"/>
    </row>
    <row r="162" spans="1:8" x14ac:dyDescent="0.25">
      <c r="A162" s="189">
        <v>31</v>
      </c>
      <c r="B162" s="190"/>
      <c r="C162" s="191"/>
      <c r="D162" s="61" t="s">
        <v>18</v>
      </c>
      <c r="E162" s="60">
        <f>E163+E165+E167</f>
        <v>3672.07</v>
      </c>
      <c r="F162" s="60">
        <f>F163+F165+F167</f>
        <v>0</v>
      </c>
      <c r="G162" s="60">
        <f>G163+G165+G167</f>
        <v>0</v>
      </c>
      <c r="H162" s="60"/>
    </row>
    <row r="163" spans="1:8" x14ac:dyDescent="0.25">
      <c r="A163" s="195" t="s">
        <v>179</v>
      </c>
      <c r="B163" s="196"/>
      <c r="C163" s="197"/>
      <c r="D163" s="78" t="s">
        <v>244</v>
      </c>
      <c r="E163" s="79">
        <f>E164</f>
        <v>3064.41</v>
      </c>
      <c r="F163" s="79">
        <f>F164</f>
        <v>0</v>
      </c>
      <c r="G163" s="79">
        <f>G164</f>
        <v>0</v>
      </c>
      <c r="H163" s="79"/>
    </row>
    <row r="164" spans="1:8" x14ac:dyDescent="0.25">
      <c r="A164" s="192" t="s">
        <v>153</v>
      </c>
      <c r="B164" s="193"/>
      <c r="C164" s="194"/>
      <c r="D164" s="32" t="s">
        <v>74</v>
      </c>
      <c r="E164" s="35">
        <f>23088.77/E2</f>
        <v>3064.41</v>
      </c>
      <c r="F164" s="73"/>
      <c r="G164" s="73"/>
      <c r="H164" s="36"/>
    </row>
    <row r="165" spans="1:8" x14ac:dyDescent="0.25">
      <c r="A165" s="195" t="s">
        <v>180</v>
      </c>
      <c r="B165" s="196"/>
      <c r="C165" s="197"/>
      <c r="D165" s="78" t="s">
        <v>245</v>
      </c>
      <c r="E165" s="79">
        <f>E166</f>
        <v>102.03</v>
      </c>
      <c r="F165" s="79">
        <f>F166</f>
        <v>0</v>
      </c>
      <c r="G165" s="79">
        <f>G166</f>
        <v>0</v>
      </c>
      <c r="H165" s="79"/>
    </row>
    <row r="166" spans="1:8" x14ac:dyDescent="0.25">
      <c r="A166" s="192" t="s">
        <v>154</v>
      </c>
      <c r="B166" s="193"/>
      <c r="C166" s="194"/>
      <c r="D166" s="32" t="s">
        <v>75</v>
      </c>
      <c r="E166" s="35">
        <f>768.75/E2</f>
        <v>102.03</v>
      </c>
      <c r="F166" s="73"/>
      <c r="G166" s="73"/>
      <c r="H166" s="36"/>
    </row>
    <row r="167" spans="1:8" x14ac:dyDescent="0.25">
      <c r="A167" s="195" t="s">
        <v>181</v>
      </c>
      <c r="B167" s="196"/>
      <c r="C167" s="197"/>
      <c r="D167" s="78" t="s">
        <v>76</v>
      </c>
      <c r="E167" s="79">
        <f>E168</f>
        <v>505.63</v>
      </c>
      <c r="F167" s="79">
        <f>F168</f>
        <v>0</v>
      </c>
      <c r="G167" s="79">
        <f>G168</f>
        <v>0</v>
      </c>
      <c r="H167" s="79"/>
    </row>
    <row r="168" spans="1:8" x14ac:dyDescent="0.25">
      <c r="A168" s="192" t="s">
        <v>155</v>
      </c>
      <c r="B168" s="193"/>
      <c r="C168" s="194"/>
      <c r="D168" s="32" t="s">
        <v>77</v>
      </c>
      <c r="E168" s="35">
        <f>3809.66/E2</f>
        <v>505.63</v>
      </c>
      <c r="F168" s="73"/>
      <c r="G168" s="73"/>
      <c r="H168" s="36"/>
    </row>
    <row r="169" spans="1:8" x14ac:dyDescent="0.25">
      <c r="A169" s="189">
        <v>32</v>
      </c>
      <c r="B169" s="190"/>
      <c r="C169" s="191"/>
      <c r="D169" s="61" t="s">
        <v>25</v>
      </c>
      <c r="E169" s="60">
        <f>SUM(E171:E172)</f>
        <v>55.7</v>
      </c>
      <c r="F169" s="60">
        <f>F170</f>
        <v>0</v>
      </c>
      <c r="G169" s="60">
        <f>G170</f>
        <v>0</v>
      </c>
      <c r="H169" s="60"/>
    </row>
    <row r="170" spans="1:8" x14ac:dyDescent="0.25">
      <c r="A170" s="195" t="s">
        <v>183</v>
      </c>
      <c r="B170" s="196"/>
      <c r="C170" s="197"/>
      <c r="D170" s="78" t="s">
        <v>78</v>
      </c>
      <c r="E170" s="79">
        <f>SUM(E171:E172)</f>
        <v>55.7</v>
      </c>
      <c r="F170" s="79">
        <f>SUM(F171:F172)</f>
        <v>0</v>
      </c>
      <c r="G170" s="79">
        <f>SUM(G171:G172)</f>
        <v>0</v>
      </c>
      <c r="H170" s="79"/>
    </row>
    <row r="171" spans="1:8" x14ac:dyDescent="0.25">
      <c r="A171" s="192" t="s">
        <v>156</v>
      </c>
      <c r="B171" s="193"/>
      <c r="C171" s="194"/>
      <c r="D171" s="32" t="s">
        <v>44</v>
      </c>
      <c r="E171" s="35">
        <f>60/E2</f>
        <v>7.96</v>
      </c>
      <c r="F171" s="73"/>
      <c r="G171" s="73"/>
      <c r="H171" s="36"/>
    </row>
    <row r="172" spans="1:8" x14ac:dyDescent="0.25">
      <c r="A172" s="192" t="s">
        <v>157</v>
      </c>
      <c r="B172" s="193"/>
      <c r="C172" s="194"/>
      <c r="D172" s="32" t="s">
        <v>79</v>
      </c>
      <c r="E172" s="35">
        <f>359.71/E2</f>
        <v>47.74</v>
      </c>
      <c r="F172" s="73"/>
      <c r="G172" s="73"/>
      <c r="H172" s="36"/>
    </row>
    <row r="173" spans="1:8" ht="15" customHeight="1" x14ac:dyDescent="0.25">
      <c r="A173" s="183" t="s">
        <v>235</v>
      </c>
      <c r="B173" s="184"/>
      <c r="C173" s="185"/>
      <c r="D173" s="42" t="s">
        <v>121</v>
      </c>
      <c r="E173" s="42">
        <f>E174</f>
        <v>21124.04</v>
      </c>
      <c r="F173" s="42">
        <f>F174</f>
        <v>0</v>
      </c>
      <c r="G173" s="42">
        <f>G174</f>
        <v>0</v>
      </c>
      <c r="H173" s="42"/>
    </row>
    <row r="174" spans="1:8" x14ac:dyDescent="0.25">
      <c r="A174" s="186">
        <v>3</v>
      </c>
      <c r="B174" s="187"/>
      <c r="C174" s="188"/>
      <c r="D174" s="151" t="s">
        <v>17</v>
      </c>
      <c r="E174" s="40">
        <f>E175+E182</f>
        <v>21124.04</v>
      </c>
      <c r="F174" s="40">
        <f>F175+F182</f>
        <v>0</v>
      </c>
      <c r="G174" s="40">
        <f>G175+G182</f>
        <v>0</v>
      </c>
      <c r="H174" s="40"/>
    </row>
    <row r="175" spans="1:8" x14ac:dyDescent="0.25">
      <c r="A175" s="189">
        <v>31</v>
      </c>
      <c r="B175" s="190"/>
      <c r="C175" s="191"/>
      <c r="D175" s="61" t="s">
        <v>18</v>
      </c>
      <c r="E175" s="60">
        <f>E176+E180+E178</f>
        <v>20808.37</v>
      </c>
      <c r="F175" s="60">
        <f>F176+F178+F180</f>
        <v>0</v>
      </c>
      <c r="G175" s="60">
        <f>G176+G178+G180</f>
        <v>0</v>
      </c>
      <c r="H175" s="60"/>
    </row>
    <row r="176" spans="1:8" x14ac:dyDescent="0.25">
      <c r="A176" s="195" t="s">
        <v>179</v>
      </c>
      <c r="B176" s="196"/>
      <c r="C176" s="197"/>
      <c r="D176" s="78" t="s">
        <v>244</v>
      </c>
      <c r="E176" s="79">
        <f>E177</f>
        <v>17364.97</v>
      </c>
      <c r="F176" s="79">
        <f>F177</f>
        <v>0</v>
      </c>
      <c r="G176" s="79">
        <f>G177</f>
        <v>0</v>
      </c>
      <c r="H176" s="79"/>
    </row>
    <row r="177" spans="1:16" x14ac:dyDescent="0.25">
      <c r="A177" s="192" t="s">
        <v>153</v>
      </c>
      <c r="B177" s="193"/>
      <c r="C177" s="194"/>
      <c r="D177" s="32" t="s">
        <v>74</v>
      </c>
      <c r="E177" s="35">
        <f>130836.4/E2</f>
        <v>17364.97</v>
      </c>
      <c r="F177" s="73"/>
      <c r="G177" s="73"/>
      <c r="H177" s="36"/>
    </row>
    <row r="178" spans="1:16" x14ac:dyDescent="0.25">
      <c r="A178" s="195" t="s">
        <v>180</v>
      </c>
      <c r="B178" s="196"/>
      <c r="C178" s="197"/>
      <c r="D178" s="78" t="s">
        <v>245</v>
      </c>
      <c r="E178" s="79">
        <f>E179</f>
        <v>578.16999999999996</v>
      </c>
      <c r="F178" s="79">
        <f>F179</f>
        <v>0</v>
      </c>
      <c r="G178" s="79">
        <f>G179</f>
        <v>0</v>
      </c>
      <c r="H178" s="79"/>
    </row>
    <row r="179" spans="1:16" x14ac:dyDescent="0.25">
      <c r="A179" s="192" t="s">
        <v>154</v>
      </c>
      <c r="B179" s="193"/>
      <c r="C179" s="194"/>
      <c r="D179" s="32" t="s">
        <v>75</v>
      </c>
      <c r="E179" s="35">
        <f>4356.25/E2</f>
        <v>578.16999999999996</v>
      </c>
      <c r="F179" s="73"/>
      <c r="G179" s="73"/>
      <c r="H179" s="36"/>
    </row>
    <row r="180" spans="1:16" x14ac:dyDescent="0.25">
      <c r="A180" s="195" t="s">
        <v>181</v>
      </c>
      <c r="B180" s="196"/>
      <c r="C180" s="197"/>
      <c r="D180" s="78" t="s">
        <v>76</v>
      </c>
      <c r="E180" s="79">
        <f>E181</f>
        <v>2865.23</v>
      </c>
      <c r="F180" s="79">
        <f>F181</f>
        <v>0</v>
      </c>
      <c r="G180" s="79">
        <f>G181</f>
        <v>0</v>
      </c>
      <c r="H180" s="79"/>
    </row>
    <row r="181" spans="1:16" x14ac:dyDescent="0.25">
      <c r="A181" s="192" t="s">
        <v>155</v>
      </c>
      <c r="B181" s="193"/>
      <c r="C181" s="194"/>
      <c r="D181" s="32" t="s">
        <v>77</v>
      </c>
      <c r="E181" s="35">
        <f>21588.06/E2</f>
        <v>2865.23</v>
      </c>
      <c r="F181" s="73"/>
      <c r="G181" s="73"/>
      <c r="H181" s="36"/>
    </row>
    <row r="182" spans="1:16" x14ac:dyDescent="0.25">
      <c r="A182" s="189">
        <v>32</v>
      </c>
      <c r="B182" s="190"/>
      <c r="C182" s="191"/>
      <c r="D182" s="61" t="s">
        <v>25</v>
      </c>
      <c r="E182" s="60">
        <f>SUM(E184:E185)</f>
        <v>315.67</v>
      </c>
      <c r="F182" s="87">
        <f>F183</f>
        <v>0</v>
      </c>
      <c r="G182" s="53">
        <f>G183</f>
        <v>0</v>
      </c>
      <c r="H182" s="60"/>
    </row>
    <row r="183" spans="1:16" x14ac:dyDescent="0.25">
      <c r="A183" s="195" t="s">
        <v>183</v>
      </c>
      <c r="B183" s="196"/>
      <c r="C183" s="197"/>
      <c r="D183" s="78" t="s">
        <v>78</v>
      </c>
      <c r="E183" s="79">
        <f>SUM(E184:E185)</f>
        <v>315.67</v>
      </c>
      <c r="F183" s="79">
        <f>F184+F185</f>
        <v>0</v>
      </c>
      <c r="G183" s="79">
        <f>G184+G185</f>
        <v>0</v>
      </c>
      <c r="H183" s="79"/>
    </row>
    <row r="184" spans="1:16" x14ac:dyDescent="0.25">
      <c r="A184" s="192" t="s">
        <v>156</v>
      </c>
      <c r="B184" s="193"/>
      <c r="C184" s="194"/>
      <c r="D184" s="32" t="s">
        <v>44</v>
      </c>
      <c r="E184" s="35">
        <f>340/E2</f>
        <v>45.13</v>
      </c>
      <c r="F184" s="89"/>
      <c r="G184" s="89"/>
      <c r="H184" s="36"/>
    </row>
    <row r="185" spans="1:16" x14ac:dyDescent="0.25">
      <c r="A185" s="192" t="s">
        <v>157</v>
      </c>
      <c r="B185" s="193"/>
      <c r="C185" s="194"/>
      <c r="D185" s="32" t="s">
        <v>79</v>
      </c>
      <c r="E185" s="35">
        <f>2038.39/E2</f>
        <v>270.54000000000002</v>
      </c>
      <c r="F185" s="89"/>
      <c r="G185" s="89"/>
      <c r="H185" s="36"/>
    </row>
    <row r="186" spans="1:16" x14ac:dyDescent="0.25">
      <c r="A186" s="207" t="s">
        <v>225</v>
      </c>
      <c r="B186" s="208"/>
      <c r="C186" s="209"/>
      <c r="D186" s="30" t="s">
        <v>80</v>
      </c>
      <c r="E186" s="31">
        <f>E187</f>
        <v>0</v>
      </c>
      <c r="F186" s="31">
        <v>0</v>
      </c>
      <c r="G186" s="31">
        <f>G187</f>
        <v>600</v>
      </c>
      <c r="H186" s="31"/>
      <c r="K186" s="59"/>
      <c r="L186" s="59"/>
      <c r="M186" s="59"/>
      <c r="N186" s="59"/>
      <c r="O186" s="59"/>
      <c r="P186" s="59"/>
    </row>
    <row r="187" spans="1:16" ht="15" customHeight="1" x14ac:dyDescent="0.25">
      <c r="A187" s="198" t="s">
        <v>382</v>
      </c>
      <c r="B187" s="199"/>
      <c r="C187" s="200"/>
      <c r="D187" s="38" t="s">
        <v>383</v>
      </c>
      <c r="E187" s="41">
        <f>E188</f>
        <v>0</v>
      </c>
      <c r="F187" s="41">
        <v>0</v>
      </c>
      <c r="G187" s="41">
        <f>G188</f>
        <v>600</v>
      </c>
      <c r="H187" s="41"/>
    </row>
    <row r="188" spans="1:16" ht="15" customHeight="1" x14ac:dyDescent="0.25">
      <c r="A188" s="183" t="s">
        <v>116</v>
      </c>
      <c r="B188" s="184"/>
      <c r="C188" s="185"/>
      <c r="D188" s="42" t="s">
        <v>15</v>
      </c>
      <c r="E188" s="42">
        <f>E189</f>
        <v>0</v>
      </c>
      <c r="F188" s="42">
        <v>0</v>
      </c>
      <c r="G188" s="42">
        <f>G189</f>
        <v>600</v>
      </c>
      <c r="H188" s="42"/>
    </row>
    <row r="189" spans="1:16" ht="25.5" x14ac:dyDescent="0.25">
      <c r="A189" s="186">
        <v>4</v>
      </c>
      <c r="B189" s="187"/>
      <c r="C189" s="188"/>
      <c r="D189" s="58" t="s">
        <v>19</v>
      </c>
      <c r="E189" s="40">
        <f>E190</f>
        <v>0</v>
      </c>
      <c r="F189" s="40">
        <f t="shared" ref="F189:G189" si="40">F190</f>
        <v>0</v>
      </c>
      <c r="G189" s="40">
        <f t="shared" si="40"/>
        <v>600</v>
      </c>
      <c r="H189" s="40"/>
    </row>
    <row r="190" spans="1:16" ht="25.5" x14ac:dyDescent="0.25">
      <c r="A190" s="189">
        <v>42</v>
      </c>
      <c r="B190" s="190"/>
      <c r="C190" s="191"/>
      <c r="D190" s="61" t="s">
        <v>208</v>
      </c>
      <c r="E190" s="60">
        <f>SUM(E191:E191)</f>
        <v>0</v>
      </c>
      <c r="F190" s="60">
        <f>SUM(F191:F191)</f>
        <v>0</v>
      </c>
      <c r="G190" s="60">
        <f>SUM(G191:G191)</f>
        <v>600</v>
      </c>
      <c r="H190" s="60"/>
    </row>
    <row r="191" spans="1:16" x14ac:dyDescent="0.25">
      <c r="A191" s="192" t="s">
        <v>165</v>
      </c>
      <c r="B191" s="193"/>
      <c r="C191" s="194"/>
      <c r="D191" s="29" t="s">
        <v>220</v>
      </c>
      <c r="E191" s="35"/>
      <c r="F191" s="35"/>
      <c r="G191" s="35">
        <v>600</v>
      </c>
      <c r="H191" s="36"/>
    </row>
    <row r="192" spans="1:16" ht="24" x14ac:dyDescent="0.25">
      <c r="A192" s="207" t="s">
        <v>226</v>
      </c>
      <c r="B192" s="208"/>
      <c r="C192" s="209"/>
      <c r="D192" s="30" t="s">
        <v>83</v>
      </c>
      <c r="E192" s="31">
        <f>E193</f>
        <v>49159.95</v>
      </c>
      <c r="F192" s="31">
        <f t="shared" ref="F192:G192" si="41">F193</f>
        <v>25776.61</v>
      </c>
      <c r="G192" s="31">
        <f t="shared" si="41"/>
        <v>28917.7</v>
      </c>
      <c r="H192" s="31">
        <f t="shared" si="39"/>
        <v>112.19</v>
      </c>
      <c r="K192" s="59"/>
      <c r="L192" s="59"/>
      <c r="M192" s="59"/>
      <c r="N192" s="59"/>
      <c r="O192" s="59"/>
      <c r="P192" s="59"/>
    </row>
    <row r="193" spans="1:16" ht="28.5" customHeight="1" x14ac:dyDescent="0.25">
      <c r="A193" s="198" t="s">
        <v>227</v>
      </c>
      <c r="B193" s="199"/>
      <c r="C193" s="200"/>
      <c r="D193" s="38" t="s">
        <v>228</v>
      </c>
      <c r="E193" s="41">
        <f t="shared" ref="E193:E197" si="42">E194</f>
        <v>49159.95</v>
      </c>
      <c r="F193" s="41">
        <f t="shared" ref="F193:G193" si="43">F194</f>
        <v>25776.61</v>
      </c>
      <c r="G193" s="41">
        <f t="shared" si="43"/>
        <v>28917.7</v>
      </c>
      <c r="H193" s="41">
        <f t="shared" si="39"/>
        <v>112.19</v>
      </c>
    </row>
    <row r="194" spans="1:16" ht="15" customHeight="1" x14ac:dyDescent="0.25">
      <c r="A194" s="183" t="s">
        <v>116</v>
      </c>
      <c r="B194" s="184"/>
      <c r="C194" s="185"/>
      <c r="D194" s="42" t="s">
        <v>15</v>
      </c>
      <c r="E194" s="42">
        <f t="shared" si="42"/>
        <v>49159.95</v>
      </c>
      <c r="F194" s="42">
        <f t="shared" ref="F194:G194" si="44">F195</f>
        <v>25776.61</v>
      </c>
      <c r="G194" s="42">
        <f t="shared" si="44"/>
        <v>28917.7</v>
      </c>
      <c r="H194" s="42">
        <f t="shared" si="39"/>
        <v>112.19</v>
      </c>
    </row>
    <row r="195" spans="1:16" x14ac:dyDescent="0.25">
      <c r="A195" s="186">
        <v>3</v>
      </c>
      <c r="B195" s="187"/>
      <c r="C195" s="188"/>
      <c r="D195" s="58" t="s">
        <v>17</v>
      </c>
      <c r="E195" s="40">
        <f t="shared" si="42"/>
        <v>49159.95</v>
      </c>
      <c r="F195" s="40">
        <f t="shared" ref="F195:G196" si="45">F196</f>
        <v>25776.61</v>
      </c>
      <c r="G195" s="40">
        <f t="shared" si="45"/>
        <v>28917.7</v>
      </c>
      <c r="H195" s="40">
        <f t="shared" si="39"/>
        <v>112.19</v>
      </c>
    </row>
    <row r="196" spans="1:16" ht="25.5" x14ac:dyDescent="0.25">
      <c r="A196" s="189">
        <v>32</v>
      </c>
      <c r="B196" s="190"/>
      <c r="C196" s="191"/>
      <c r="D196" s="61" t="s">
        <v>208</v>
      </c>
      <c r="E196" s="60">
        <f t="shared" si="42"/>
        <v>49159.95</v>
      </c>
      <c r="F196" s="60">
        <f t="shared" si="45"/>
        <v>25776.61</v>
      </c>
      <c r="G196" s="60">
        <f t="shared" si="45"/>
        <v>28917.7</v>
      </c>
      <c r="H196" s="60">
        <f t="shared" si="39"/>
        <v>112.19</v>
      </c>
    </row>
    <row r="197" spans="1:16" x14ac:dyDescent="0.25">
      <c r="A197" s="195" t="s">
        <v>193</v>
      </c>
      <c r="B197" s="196"/>
      <c r="C197" s="197"/>
      <c r="D197" s="78" t="s">
        <v>66</v>
      </c>
      <c r="E197" s="79">
        <f t="shared" si="42"/>
        <v>49159.95</v>
      </c>
      <c r="F197" s="79">
        <f>F198</f>
        <v>25776.61</v>
      </c>
      <c r="G197" s="79">
        <f t="shared" ref="G197" si="46">G198</f>
        <v>28917.7</v>
      </c>
      <c r="H197" s="79">
        <f>G197/F197*100</f>
        <v>112.19</v>
      </c>
    </row>
    <row r="198" spans="1:16" ht="25.5" x14ac:dyDescent="0.25">
      <c r="A198" s="192" t="s">
        <v>160</v>
      </c>
      <c r="B198" s="193"/>
      <c r="C198" s="194"/>
      <c r="D198" s="29" t="s">
        <v>205</v>
      </c>
      <c r="E198" s="35">
        <f>370395.66/E2</f>
        <v>49159.95</v>
      </c>
      <c r="F198" s="35">
        <v>25776.61</v>
      </c>
      <c r="G198" s="35">
        <f>25776.61+3141.09</f>
        <v>28917.7</v>
      </c>
      <c r="H198" s="36"/>
    </row>
    <row r="199" spans="1:16" x14ac:dyDescent="0.25">
      <c r="A199" s="207" t="s">
        <v>225</v>
      </c>
      <c r="B199" s="208"/>
      <c r="C199" s="209"/>
      <c r="D199" s="30" t="s">
        <v>80</v>
      </c>
      <c r="E199" s="31">
        <f>E200+E207+E213</f>
        <v>53846.86</v>
      </c>
      <c r="F199" s="31">
        <v>0</v>
      </c>
      <c r="G199" s="31">
        <f>G200</f>
        <v>0</v>
      </c>
      <c r="H199" s="31"/>
      <c r="K199" s="59"/>
      <c r="L199" s="59"/>
      <c r="M199" s="59"/>
      <c r="N199" s="59"/>
      <c r="O199" s="59"/>
      <c r="P199" s="59"/>
    </row>
    <row r="200" spans="1:16" ht="15" customHeight="1" x14ac:dyDescent="0.25">
      <c r="A200" s="198" t="s">
        <v>387</v>
      </c>
      <c r="B200" s="199"/>
      <c r="C200" s="200"/>
      <c r="D200" s="38" t="s">
        <v>81</v>
      </c>
      <c r="E200" s="41">
        <f>E201</f>
        <v>18343.509999999998</v>
      </c>
      <c r="F200" s="41">
        <v>0</v>
      </c>
      <c r="G200" s="41">
        <f>G201</f>
        <v>0</v>
      </c>
      <c r="H200" s="41"/>
    </row>
    <row r="201" spans="1:16" ht="15" customHeight="1" x14ac:dyDescent="0.25">
      <c r="A201" s="183" t="s">
        <v>116</v>
      </c>
      <c r="B201" s="184"/>
      <c r="C201" s="185"/>
      <c r="D201" s="42" t="s">
        <v>15</v>
      </c>
      <c r="E201" s="42">
        <f>E202</f>
        <v>18343.509999999998</v>
      </c>
      <c r="F201" s="42">
        <v>0</v>
      </c>
      <c r="G201" s="42">
        <f>G202</f>
        <v>0</v>
      </c>
      <c r="H201" s="42"/>
    </row>
    <row r="202" spans="1:16" ht="25.5" x14ac:dyDescent="0.25">
      <c r="A202" s="186">
        <v>4</v>
      </c>
      <c r="B202" s="187"/>
      <c r="C202" s="188"/>
      <c r="D202" s="151" t="s">
        <v>19</v>
      </c>
      <c r="E202" s="40">
        <f>E203</f>
        <v>18343.509999999998</v>
      </c>
      <c r="F202" s="40">
        <f t="shared" ref="F202:G202" si="47">F203</f>
        <v>0</v>
      </c>
      <c r="G202" s="40">
        <f t="shared" si="47"/>
        <v>0</v>
      </c>
      <c r="H202" s="40"/>
    </row>
    <row r="203" spans="1:16" ht="25.5" x14ac:dyDescent="0.25">
      <c r="A203" s="189">
        <v>42</v>
      </c>
      <c r="B203" s="190"/>
      <c r="C203" s="191"/>
      <c r="D203" s="61" t="s">
        <v>208</v>
      </c>
      <c r="E203" s="60">
        <f>E204</f>
        <v>18343.509999999998</v>
      </c>
      <c r="F203" s="60">
        <f>SUM(F205:F205)</f>
        <v>0</v>
      </c>
      <c r="G203" s="60">
        <f>SUM(G205:G205)</f>
        <v>0</v>
      </c>
      <c r="H203" s="60"/>
    </row>
    <row r="204" spans="1:16" x14ac:dyDescent="0.25">
      <c r="A204" s="195" t="s">
        <v>218</v>
      </c>
      <c r="B204" s="196"/>
      <c r="C204" s="197"/>
      <c r="D204" s="78" t="s">
        <v>94</v>
      </c>
      <c r="E204" s="79">
        <f>SUM(E205:E206)</f>
        <v>18343.509999999998</v>
      </c>
      <c r="F204" s="79">
        <f>F205</f>
        <v>0</v>
      </c>
      <c r="G204" s="79">
        <f t="shared" ref="G204" si="48">G205</f>
        <v>0</v>
      </c>
      <c r="H204" s="79">
        <v>0</v>
      </c>
    </row>
    <row r="205" spans="1:16" x14ac:dyDescent="0.25">
      <c r="A205" s="192" t="s">
        <v>162</v>
      </c>
      <c r="B205" s="193"/>
      <c r="C205" s="194"/>
      <c r="D205" s="29" t="s">
        <v>95</v>
      </c>
      <c r="E205" s="35">
        <f>108209.19/E2</f>
        <v>14361.83</v>
      </c>
      <c r="F205" s="35"/>
      <c r="G205" s="35"/>
      <c r="H205" s="36"/>
    </row>
    <row r="206" spans="1:16" x14ac:dyDescent="0.25">
      <c r="A206" s="192" t="s">
        <v>164</v>
      </c>
      <c r="B206" s="193"/>
      <c r="C206" s="194"/>
      <c r="D206" s="29" t="s">
        <v>388</v>
      </c>
      <c r="E206" s="35">
        <f>30000/E2</f>
        <v>3981.68</v>
      </c>
      <c r="F206" s="35"/>
      <c r="G206" s="35"/>
      <c r="H206" s="36"/>
    </row>
    <row r="207" spans="1:16" ht="15" customHeight="1" x14ac:dyDescent="0.25">
      <c r="A207" s="198" t="s">
        <v>389</v>
      </c>
      <c r="B207" s="199"/>
      <c r="C207" s="200"/>
      <c r="D207" s="38" t="s">
        <v>390</v>
      </c>
      <c r="E207" s="41">
        <f>E208</f>
        <v>32185.279999999999</v>
      </c>
      <c r="F207" s="41">
        <v>0</v>
      </c>
      <c r="G207" s="41">
        <f>G208</f>
        <v>0</v>
      </c>
      <c r="H207" s="41"/>
    </row>
    <row r="208" spans="1:16" ht="15" customHeight="1" x14ac:dyDescent="0.25">
      <c r="A208" s="183" t="s">
        <v>116</v>
      </c>
      <c r="B208" s="184"/>
      <c r="C208" s="185"/>
      <c r="D208" s="42" t="s">
        <v>15</v>
      </c>
      <c r="E208" s="42">
        <f>E209</f>
        <v>32185.279999999999</v>
      </c>
      <c r="F208" s="42">
        <v>0</v>
      </c>
      <c r="G208" s="42">
        <f>G209</f>
        <v>0</v>
      </c>
      <c r="H208" s="42"/>
    </row>
    <row r="209" spans="1:17" ht="25.5" x14ac:dyDescent="0.25">
      <c r="A209" s="186">
        <v>4</v>
      </c>
      <c r="B209" s="187"/>
      <c r="C209" s="188"/>
      <c r="D209" s="151" t="s">
        <v>19</v>
      </c>
      <c r="E209" s="40">
        <f>E210</f>
        <v>32185.279999999999</v>
      </c>
      <c r="F209" s="40">
        <f t="shared" ref="F209:G209" si="49">F210</f>
        <v>0</v>
      </c>
      <c r="G209" s="40">
        <f t="shared" si="49"/>
        <v>0</v>
      </c>
      <c r="H209" s="40"/>
    </row>
    <row r="210" spans="1:17" ht="25.5" x14ac:dyDescent="0.25">
      <c r="A210" s="189">
        <v>45</v>
      </c>
      <c r="B210" s="190"/>
      <c r="C210" s="191"/>
      <c r="D210" s="61" t="s">
        <v>391</v>
      </c>
      <c r="E210" s="60">
        <f>E211</f>
        <v>32185.279999999999</v>
      </c>
      <c r="F210" s="60">
        <f>SUM(F212:F212)</f>
        <v>0</v>
      </c>
      <c r="G210" s="60">
        <f>SUM(G212:G212)</f>
        <v>0</v>
      </c>
      <c r="H210" s="60"/>
    </row>
    <row r="211" spans="1:17" x14ac:dyDescent="0.25">
      <c r="A211" s="195" t="s">
        <v>212</v>
      </c>
      <c r="B211" s="196"/>
      <c r="C211" s="197"/>
      <c r="D211" s="78" t="s">
        <v>392</v>
      </c>
      <c r="E211" s="79">
        <f>SUM(E212:E212)</f>
        <v>32185.279999999999</v>
      </c>
      <c r="F211" s="79">
        <f>F212</f>
        <v>0</v>
      </c>
      <c r="G211" s="79">
        <f t="shared" ref="G211" si="50">G212</f>
        <v>0</v>
      </c>
      <c r="H211" s="79"/>
    </row>
    <row r="212" spans="1:17" ht="25.5" x14ac:dyDescent="0.25">
      <c r="A212" s="192" t="s">
        <v>214</v>
      </c>
      <c r="B212" s="193"/>
      <c r="C212" s="194"/>
      <c r="D212" s="29" t="s">
        <v>213</v>
      </c>
      <c r="E212" s="35">
        <f>242500/7.5345</f>
        <v>32185.279999999999</v>
      </c>
      <c r="F212" s="35"/>
      <c r="G212" s="35"/>
      <c r="H212" s="36"/>
    </row>
    <row r="213" spans="1:17" ht="28.5" customHeight="1" x14ac:dyDescent="0.25">
      <c r="A213" s="198" t="s">
        <v>393</v>
      </c>
      <c r="B213" s="199"/>
      <c r="C213" s="200"/>
      <c r="D213" s="38" t="s">
        <v>394</v>
      </c>
      <c r="E213" s="41">
        <f t="shared" ref="E213:G217" si="51">E214</f>
        <v>3318.07</v>
      </c>
      <c r="F213" s="41">
        <f t="shared" si="51"/>
        <v>0</v>
      </c>
      <c r="G213" s="41">
        <f t="shared" si="51"/>
        <v>0</v>
      </c>
      <c r="H213" s="41"/>
    </row>
    <row r="214" spans="1:17" ht="15" customHeight="1" x14ac:dyDescent="0.25">
      <c r="A214" s="183" t="s">
        <v>116</v>
      </c>
      <c r="B214" s="184"/>
      <c r="C214" s="185"/>
      <c r="D214" s="42" t="s">
        <v>15</v>
      </c>
      <c r="E214" s="42">
        <f t="shared" si="51"/>
        <v>3318.07</v>
      </c>
      <c r="F214" s="42">
        <f t="shared" si="51"/>
        <v>0</v>
      </c>
      <c r="G214" s="42">
        <f t="shared" si="51"/>
        <v>0</v>
      </c>
      <c r="H214" s="42"/>
    </row>
    <row r="215" spans="1:17" x14ac:dyDescent="0.25">
      <c r="A215" s="186">
        <v>3</v>
      </c>
      <c r="B215" s="187"/>
      <c r="C215" s="188"/>
      <c r="D215" s="151" t="s">
        <v>17</v>
      </c>
      <c r="E215" s="40">
        <f t="shared" si="51"/>
        <v>3318.07</v>
      </c>
      <c r="F215" s="40">
        <f t="shared" si="51"/>
        <v>0</v>
      </c>
      <c r="G215" s="40">
        <f t="shared" si="51"/>
        <v>0</v>
      </c>
      <c r="H215" s="40"/>
    </row>
    <row r="216" spans="1:17" ht="25.5" x14ac:dyDescent="0.25">
      <c r="A216" s="189">
        <v>32</v>
      </c>
      <c r="B216" s="190"/>
      <c r="C216" s="191"/>
      <c r="D216" s="61" t="s">
        <v>208</v>
      </c>
      <c r="E216" s="60">
        <f t="shared" si="51"/>
        <v>3318.07</v>
      </c>
      <c r="F216" s="60">
        <f t="shared" si="51"/>
        <v>0</v>
      </c>
      <c r="G216" s="60">
        <f t="shared" si="51"/>
        <v>0</v>
      </c>
      <c r="H216" s="60"/>
    </row>
    <row r="217" spans="1:17" x14ac:dyDescent="0.25">
      <c r="A217" s="195" t="s">
        <v>189</v>
      </c>
      <c r="B217" s="196"/>
      <c r="C217" s="197"/>
      <c r="D217" s="78" t="s">
        <v>64</v>
      </c>
      <c r="E217" s="79">
        <f t="shared" si="51"/>
        <v>3318.07</v>
      </c>
      <c r="F217" s="79">
        <f>F218</f>
        <v>0</v>
      </c>
      <c r="G217" s="79">
        <f t="shared" si="51"/>
        <v>0</v>
      </c>
      <c r="H217" s="79"/>
    </row>
    <row r="218" spans="1:17" x14ac:dyDescent="0.25">
      <c r="A218" s="192" t="s">
        <v>174</v>
      </c>
      <c r="B218" s="193"/>
      <c r="C218" s="194"/>
      <c r="D218" s="29" t="s">
        <v>85</v>
      </c>
      <c r="E218" s="35">
        <f>25000/E2</f>
        <v>3318.07</v>
      </c>
      <c r="F218" s="35">
        <v>0</v>
      </c>
      <c r="G218" s="35"/>
      <c r="H218" s="36"/>
    </row>
    <row r="219" spans="1:17" ht="53.25" customHeight="1" x14ac:dyDescent="0.25">
      <c r="A219" s="213" t="s">
        <v>112</v>
      </c>
      <c r="B219" s="214"/>
      <c r="C219" s="215"/>
      <c r="D219" s="43" t="s">
        <v>84</v>
      </c>
      <c r="E219" s="46">
        <f>E220+E331+E353+E394+E410</f>
        <v>1184706.95</v>
      </c>
      <c r="F219" s="46">
        <f>F220+F331+F353+F394+F410</f>
        <v>1241860.72</v>
      </c>
      <c r="G219" s="46">
        <f>G220+G331+G353+G394+G410</f>
        <v>1346863.16</v>
      </c>
      <c r="H219" s="46">
        <f t="shared" si="39"/>
        <v>108.46</v>
      </c>
      <c r="Q219" s="47"/>
    </row>
    <row r="220" spans="1:17" ht="14.25" customHeight="1" x14ac:dyDescent="0.25">
      <c r="A220" s="198" t="s">
        <v>42</v>
      </c>
      <c r="B220" s="199"/>
      <c r="C220" s="200"/>
      <c r="D220" s="38" t="s">
        <v>17</v>
      </c>
      <c r="E220" s="41">
        <f>E221+E239+E275+E290+E326</f>
        <v>28814.3</v>
      </c>
      <c r="F220" s="41">
        <f>F221+F239+F275+F290+F326</f>
        <v>36300.31</v>
      </c>
      <c r="G220" s="41">
        <f>G221+G239+G275+G290+G326</f>
        <v>23943.91</v>
      </c>
      <c r="H220" s="41">
        <f t="shared" si="39"/>
        <v>65.959999999999994</v>
      </c>
      <c r="I220" s="47"/>
    </row>
    <row r="221" spans="1:17" ht="15" customHeight="1" x14ac:dyDescent="0.25">
      <c r="A221" s="183" t="s">
        <v>131</v>
      </c>
      <c r="B221" s="184"/>
      <c r="C221" s="185"/>
      <c r="D221" s="42" t="s">
        <v>26</v>
      </c>
      <c r="E221" s="42">
        <f>E222+E235</f>
        <v>0</v>
      </c>
      <c r="F221" s="42">
        <f>F222+F235</f>
        <v>477.8</v>
      </c>
      <c r="G221" s="42">
        <f>G222+G235</f>
        <v>0</v>
      </c>
      <c r="H221" s="42">
        <f t="shared" si="39"/>
        <v>0</v>
      </c>
    </row>
    <row r="222" spans="1:17" x14ac:dyDescent="0.25">
      <c r="A222" s="186">
        <v>3</v>
      </c>
      <c r="B222" s="187"/>
      <c r="C222" s="188"/>
      <c r="D222" s="39" t="s">
        <v>17</v>
      </c>
      <c r="E222" s="40">
        <f>E223+E235</f>
        <v>0</v>
      </c>
      <c r="F222" s="40">
        <f>F223+F235</f>
        <v>477.8</v>
      </c>
      <c r="G222" s="40">
        <f>G223</f>
        <v>0</v>
      </c>
      <c r="H222" s="40">
        <f t="shared" si="39"/>
        <v>0</v>
      </c>
    </row>
    <row r="223" spans="1:17" x14ac:dyDescent="0.25">
      <c r="A223" s="189">
        <v>32</v>
      </c>
      <c r="B223" s="190"/>
      <c r="C223" s="191"/>
      <c r="D223" s="61" t="s">
        <v>25</v>
      </c>
      <c r="E223" s="60">
        <f>E226+E230+E232</f>
        <v>0</v>
      </c>
      <c r="F223" s="60">
        <f>F226+F230+F232</f>
        <v>477.8</v>
      </c>
      <c r="G223" s="60">
        <f>G226+G230+G232+G224</f>
        <v>0</v>
      </c>
      <c r="H223" s="60">
        <f t="shared" si="39"/>
        <v>0</v>
      </c>
    </row>
    <row r="224" spans="1:17" x14ac:dyDescent="0.25">
      <c r="A224" s="195" t="s">
        <v>183</v>
      </c>
      <c r="B224" s="196"/>
      <c r="C224" s="197"/>
      <c r="D224" s="78" t="s">
        <v>78</v>
      </c>
      <c r="E224" s="79">
        <f>F225</f>
        <v>0</v>
      </c>
      <c r="F224" s="79">
        <f>G225</f>
        <v>0</v>
      </c>
      <c r="G224" s="79">
        <f>G225</f>
        <v>0</v>
      </c>
      <c r="H224" s="79"/>
    </row>
    <row r="225" spans="1:8" x14ac:dyDescent="0.25">
      <c r="A225" s="192">
        <v>3211</v>
      </c>
      <c r="B225" s="193"/>
      <c r="C225" s="194"/>
      <c r="D225" s="29" t="s">
        <v>44</v>
      </c>
      <c r="E225" s="35"/>
      <c r="F225" s="35">
        <v>0</v>
      </c>
      <c r="G225" s="35">
        <v>0</v>
      </c>
      <c r="H225" s="36"/>
    </row>
    <row r="226" spans="1:8" x14ac:dyDescent="0.25">
      <c r="A226" s="195" t="s">
        <v>189</v>
      </c>
      <c r="B226" s="196"/>
      <c r="C226" s="197"/>
      <c r="D226" s="78" t="s">
        <v>64</v>
      </c>
      <c r="E226" s="79">
        <f>SUM(E227:E228)</f>
        <v>0</v>
      </c>
      <c r="F226" s="79">
        <f>SUM(F227:F229)</f>
        <v>79.63</v>
      </c>
      <c r="G226" s="79">
        <f>SUM(G227:G228)</f>
        <v>0</v>
      </c>
      <c r="H226" s="79">
        <f t="shared" si="39"/>
        <v>0</v>
      </c>
    </row>
    <row r="227" spans="1:8" x14ac:dyDescent="0.25">
      <c r="A227" s="192">
        <v>3221</v>
      </c>
      <c r="B227" s="193">
        <v>3221</v>
      </c>
      <c r="C227" s="194">
        <v>3221</v>
      </c>
      <c r="D227" s="29" t="s">
        <v>46</v>
      </c>
      <c r="E227" s="35"/>
      <c r="F227" s="35">
        <v>0</v>
      </c>
      <c r="G227" s="35">
        <v>0</v>
      </c>
      <c r="H227" s="36"/>
    </row>
    <row r="228" spans="1:8" x14ac:dyDescent="0.25">
      <c r="A228" s="192">
        <v>3223</v>
      </c>
      <c r="B228" s="193">
        <v>3223</v>
      </c>
      <c r="C228" s="194">
        <v>3223</v>
      </c>
      <c r="D228" s="29" t="s">
        <v>47</v>
      </c>
      <c r="E228" s="35"/>
      <c r="F228" s="35"/>
      <c r="G228" s="35">
        <v>0</v>
      </c>
      <c r="H228" s="36"/>
    </row>
    <row r="229" spans="1:8" x14ac:dyDescent="0.25">
      <c r="A229" s="192">
        <v>3223</v>
      </c>
      <c r="B229" s="193">
        <v>3223</v>
      </c>
      <c r="C229" s="194">
        <v>3223</v>
      </c>
      <c r="D229" s="32" t="s">
        <v>65</v>
      </c>
      <c r="E229" s="35"/>
      <c r="F229" s="35">
        <v>79.63</v>
      </c>
      <c r="G229" s="35">
        <v>0</v>
      </c>
      <c r="H229" s="36"/>
    </row>
    <row r="230" spans="1:8" x14ac:dyDescent="0.25">
      <c r="A230" s="195" t="s">
        <v>193</v>
      </c>
      <c r="B230" s="196"/>
      <c r="C230" s="197"/>
      <c r="D230" s="78" t="s">
        <v>66</v>
      </c>
      <c r="E230" s="79">
        <f>E231</f>
        <v>0</v>
      </c>
      <c r="F230" s="79">
        <f>F231</f>
        <v>265.45</v>
      </c>
      <c r="G230" s="79">
        <f>G231</f>
        <v>0</v>
      </c>
      <c r="H230" s="79">
        <f t="shared" si="39"/>
        <v>0</v>
      </c>
    </row>
    <row r="231" spans="1:8" x14ac:dyDescent="0.25">
      <c r="A231" s="192">
        <v>3239</v>
      </c>
      <c r="B231" s="193">
        <v>3239</v>
      </c>
      <c r="C231" s="194">
        <v>3239</v>
      </c>
      <c r="D231" s="29" t="s">
        <v>57</v>
      </c>
      <c r="E231" s="35"/>
      <c r="F231" s="35">
        <v>265.45</v>
      </c>
      <c r="G231" s="35">
        <v>0</v>
      </c>
      <c r="H231" s="36"/>
    </row>
    <row r="232" spans="1:8" x14ac:dyDescent="0.25">
      <c r="A232" s="195" t="s">
        <v>184</v>
      </c>
      <c r="B232" s="196"/>
      <c r="C232" s="197"/>
      <c r="D232" s="78" t="s">
        <v>71</v>
      </c>
      <c r="E232" s="79">
        <f>SUM(E233:E234)</f>
        <v>0</v>
      </c>
      <c r="F232" s="79">
        <f>SUM(F233:F234)</f>
        <v>132.72</v>
      </c>
      <c r="G232" s="79">
        <f>SUM(G233:G234)</f>
        <v>0</v>
      </c>
      <c r="H232" s="79">
        <f t="shared" si="39"/>
        <v>0</v>
      </c>
    </row>
    <row r="233" spans="1:8" x14ac:dyDescent="0.25">
      <c r="A233" s="192">
        <v>3293</v>
      </c>
      <c r="B233" s="193">
        <v>3293</v>
      </c>
      <c r="C233" s="194">
        <v>3293</v>
      </c>
      <c r="D233" s="29" t="s">
        <v>58</v>
      </c>
      <c r="E233" s="35"/>
      <c r="F233" s="35">
        <v>0</v>
      </c>
      <c r="G233" s="35">
        <v>0</v>
      </c>
      <c r="H233" s="36"/>
    </row>
    <row r="234" spans="1:8" x14ac:dyDescent="0.25">
      <c r="A234" s="192">
        <v>3299</v>
      </c>
      <c r="B234" s="193">
        <v>3299</v>
      </c>
      <c r="C234" s="194">
        <v>3299</v>
      </c>
      <c r="D234" s="29" t="s">
        <v>61</v>
      </c>
      <c r="E234" s="35"/>
      <c r="F234" s="35">
        <v>132.72</v>
      </c>
      <c r="G234" s="35">
        <v>0</v>
      </c>
      <c r="H234" s="36"/>
    </row>
    <row r="235" spans="1:8" ht="25.5" x14ac:dyDescent="0.25">
      <c r="A235" s="186">
        <v>4</v>
      </c>
      <c r="B235" s="187"/>
      <c r="C235" s="188"/>
      <c r="D235" s="58" t="s">
        <v>19</v>
      </c>
      <c r="E235" s="72">
        <f>E236</f>
        <v>0</v>
      </c>
      <c r="F235" s="72">
        <f>F236</f>
        <v>0</v>
      </c>
      <c r="G235" s="72">
        <f>G236</f>
        <v>0</v>
      </c>
      <c r="H235" s="72"/>
    </row>
    <row r="236" spans="1:8" ht="25.5" x14ac:dyDescent="0.25">
      <c r="A236" s="189">
        <v>42</v>
      </c>
      <c r="B236" s="190"/>
      <c r="C236" s="191"/>
      <c r="D236" s="61" t="s">
        <v>93</v>
      </c>
      <c r="E236" s="71">
        <f>E238</f>
        <v>0</v>
      </c>
      <c r="F236" s="71">
        <f>F238</f>
        <v>0</v>
      </c>
      <c r="G236" s="71">
        <f>G238</f>
        <v>0</v>
      </c>
      <c r="H236" s="71"/>
    </row>
    <row r="237" spans="1:8" x14ac:dyDescent="0.25">
      <c r="A237" s="195" t="s">
        <v>218</v>
      </c>
      <c r="B237" s="196"/>
      <c r="C237" s="197"/>
      <c r="D237" s="78" t="s">
        <v>247</v>
      </c>
      <c r="E237" s="79">
        <f>E238</f>
        <v>0</v>
      </c>
      <c r="F237" s="79">
        <f>F238</f>
        <v>0</v>
      </c>
      <c r="G237" s="79">
        <f>G238</f>
        <v>0</v>
      </c>
      <c r="H237" s="79"/>
    </row>
    <row r="238" spans="1:8" x14ac:dyDescent="0.25">
      <c r="A238" s="192" t="s">
        <v>162</v>
      </c>
      <c r="B238" s="193"/>
      <c r="C238" s="194"/>
      <c r="D238" s="32" t="s">
        <v>95</v>
      </c>
      <c r="E238" s="35"/>
      <c r="F238" s="35"/>
      <c r="G238" s="35">
        <v>0</v>
      </c>
      <c r="H238" s="36"/>
    </row>
    <row r="239" spans="1:8" ht="15" customHeight="1" x14ac:dyDescent="0.25">
      <c r="A239" s="183" t="s">
        <v>124</v>
      </c>
      <c r="B239" s="184"/>
      <c r="C239" s="185"/>
      <c r="D239" s="42" t="s">
        <v>132</v>
      </c>
      <c r="E239" s="42">
        <f>E240+E267</f>
        <v>6221.26</v>
      </c>
      <c r="F239" s="42">
        <f>F240+F267</f>
        <v>5339.31</v>
      </c>
      <c r="G239" s="42">
        <f>G240+G267</f>
        <v>1077.1300000000001</v>
      </c>
      <c r="H239" s="42">
        <f t="shared" si="39"/>
        <v>20.170000000000002</v>
      </c>
    </row>
    <row r="240" spans="1:8" x14ac:dyDescent="0.25">
      <c r="A240" s="186">
        <v>3</v>
      </c>
      <c r="B240" s="187"/>
      <c r="C240" s="188"/>
      <c r="D240" s="39" t="s">
        <v>17</v>
      </c>
      <c r="E240" s="40">
        <f>E241+E261</f>
        <v>1777.63</v>
      </c>
      <c r="F240" s="40">
        <f>F241+F261+F265</f>
        <v>3543.7</v>
      </c>
      <c r="G240" s="40">
        <f>G241+G261+G265</f>
        <v>999.88</v>
      </c>
      <c r="H240" s="40">
        <f t="shared" si="39"/>
        <v>28.22</v>
      </c>
    </row>
    <row r="241" spans="1:8" x14ac:dyDescent="0.25">
      <c r="A241" s="189">
        <v>32</v>
      </c>
      <c r="B241" s="190"/>
      <c r="C241" s="191"/>
      <c r="D241" s="61" t="s">
        <v>25</v>
      </c>
      <c r="E241" s="60">
        <f>E242+E245+E251+E258</f>
        <v>1727.58</v>
      </c>
      <c r="F241" s="60">
        <f>F242+F245+F251+F258</f>
        <v>3384.43</v>
      </c>
      <c r="G241" s="60">
        <f>G242+G245+G251+G258</f>
        <v>994.88</v>
      </c>
      <c r="H241" s="60">
        <f t="shared" si="39"/>
        <v>29.4</v>
      </c>
    </row>
    <row r="242" spans="1:8" x14ac:dyDescent="0.25">
      <c r="A242" s="195" t="s">
        <v>183</v>
      </c>
      <c r="B242" s="196"/>
      <c r="C242" s="197"/>
      <c r="D242" s="78" t="s">
        <v>78</v>
      </c>
      <c r="E242" s="79">
        <f>E243+E244</f>
        <v>160.47999999999999</v>
      </c>
      <c r="F242" s="79">
        <f>F243+F244</f>
        <v>530.91</v>
      </c>
      <c r="G242" s="79">
        <f>G243+G244</f>
        <v>401.02</v>
      </c>
      <c r="H242" s="79">
        <f t="shared" si="39"/>
        <v>75.53</v>
      </c>
    </row>
    <row r="243" spans="1:8" x14ac:dyDescent="0.25">
      <c r="A243" s="192">
        <v>3211</v>
      </c>
      <c r="B243" s="193"/>
      <c r="C243" s="194"/>
      <c r="D243" s="29" t="s">
        <v>44</v>
      </c>
      <c r="E243" s="35">
        <f>1209.15/E2</f>
        <v>160.47999999999999</v>
      </c>
      <c r="F243" s="35">
        <v>265.45</v>
      </c>
      <c r="G243" s="35">
        <f>69.21+331.81</f>
        <v>401.02</v>
      </c>
      <c r="H243" s="36"/>
    </row>
    <row r="244" spans="1:8" x14ac:dyDescent="0.25">
      <c r="A244" s="192">
        <v>3213</v>
      </c>
      <c r="B244" s="193">
        <v>3213</v>
      </c>
      <c r="C244" s="194">
        <v>3213</v>
      </c>
      <c r="D244" s="29" t="s">
        <v>45</v>
      </c>
      <c r="E244" s="35">
        <v>0</v>
      </c>
      <c r="F244" s="35">
        <v>265.45999999999998</v>
      </c>
      <c r="G244" s="35">
        <v>0</v>
      </c>
      <c r="H244" s="36"/>
    </row>
    <row r="245" spans="1:8" x14ac:dyDescent="0.25">
      <c r="A245" s="195" t="s">
        <v>189</v>
      </c>
      <c r="B245" s="196"/>
      <c r="C245" s="197"/>
      <c r="D245" s="78" t="s">
        <v>64</v>
      </c>
      <c r="E245" s="79">
        <f>SUM(E246:E250)</f>
        <v>71.489999999999995</v>
      </c>
      <c r="F245" s="79">
        <f>SUM(F246:F250)</f>
        <v>437.98</v>
      </c>
      <c r="G245" s="79">
        <f>SUM(G246:G250)</f>
        <v>16.920000000000002</v>
      </c>
      <c r="H245" s="79">
        <f t="shared" si="39"/>
        <v>3.86</v>
      </c>
    </row>
    <row r="246" spans="1:8" x14ac:dyDescent="0.25">
      <c r="A246" s="192">
        <v>3221</v>
      </c>
      <c r="B246" s="193">
        <v>3221</v>
      </c>
      <c r="C246" s="194">
        <v>3221</v>
      </c>
      <c r="D246" s="29" t="s">
        <v>46</v>
      </c>
      <c r="E246" s="35">
        <f>107.84/E2</f>
        <v>14.31</v>
      </c>
      <c r="F246" s="35">
        <v>132.72</v>
      </c>
      <c r="G246" s="35">
        <v>2.54</v>
      </c>
      <c r="H246" s="36"/>
    </row>
    <row r="247" spans="1:8" x14ac:dyDescent="0.25">
      <c r="A247" s="192">
        <v>3223</v>
      </c>
      <c r="B247" s="193">
        <v>3223</v>
      </c>
      <c r="C247" s="194">
        <v>3223</v>
      </c>
      <c r="D247" s="29" t="s">
        <v>47</v>
      </c>
      <c r="E247" s="35"/>
      <c r="F247" s="35">
        <v>13.27</v>
      </c>
      <c r="G247" s="35">
        <v>1</v>
      </c>
      <c r="H247" s="36"/>
    </row>
    <row r="248" spans="1:8" x14ac:dyDescent="0.25">
      <c r="A248" s="192" t="s">
        <v>159</v>
      </c>
      <c r="B248" s="193">
        <v>3223</v>
      </c>
      <c r="C248" s="194">
        <v>3223</v>
      </c>
      <c r="D248" s="32" t="s">
        <v>65</v>
      </c>
      <c r="E248" s="35">
        <f>430.86/E2</f>
        <v>57.18</v>
      </c>
      <c r="F248" s="35">
        <v>265.45</v>
      </c>
      <c r="G248" s="35">
        <v>3.42</v>
      </c>
      <c r="H248" s="36"/>
    </row>
    <row r="249" spans="1:8" x14ac:dyDescent="0.25">
      <c r="A249" s="192">
        <v>3225</v>
      </c>
      <c r="B249" s="193">
        <v>3225</v>
      </c>
      <c r="C249" s="194">
        <v>3225</v>
      </c>
      <c r="D249" s="29" t="s">
        <v>48</v>
      </c>
      <c r="E249" s="35"/>
      <c r="F249" s="35">
        <v>26.54</v>
      </c>
      <c r="G249" s="35">
        <v>9.9600000000000009</v>
      </c>
      <c r="H249" s="36"/>
    </row>
    <row r="250" spans="1:8" ht="25.5" x14ac:dyDescent="0.25">
      <c r="A250" s="192" t="s">
        <v>191</v>
      </c>
      <c r="B250" s="193">
        <v>3225</v>
      </c>
      <c r="C250" s="194">
        <v>3225</v>
      </c>
      <c r="D250" s="29" t="s">
        <v>192</v>
      </c>
      <c r="E250" s="35"/>
      <c r="F250" s="35">
        <v>0</v>
      </c>
      <c r="G250" s="35"/>
      <c r="H250" s="36"/>
    </row>
    <row r="251" spans="1:8" x14ac:dyDescent="0.25">
      <c r="A251" s="195" t="s">
        <v>193</v>
      </c>
      <c r="B251" s="196"/>
      <c r="C251" s="197"/>
      <c r="D251" s="78" t="s">
        <v>66</v>
      </c>
      <c r="E251" s="79">
        <f>SUM(E252:E257)</f>
        <v>206.3</v>
      </c>
      <c r="F251" s="79">
        <f>SUM(F252:F257)</f>
        <v>1738.66</v>
      </c>
      <c r="G251" s="79">
        <f>SUM(G252:G257)</f>
        <v>138.61000000000001</v>
      </c>
      <c r="H251" s="79">
        <f t="shared" si="39"/>
        <v>7.97</v>
      </c>
    </row>
    <row r="252" spans="1:8" x14ac:dyDescent="0.25">
      <c r="A252" s="62">
        <v>3231</v>
      </c>
      <c r="B252" s="63"/>
      <c r="C252" s="64"/>
      <c r="D252" s="29" t="s">
        <v>50</v>
      </c>
      <c r="E252" s="35">
        <f>915.24/E2</f>
        <v>121.47</v>
      </c>
      <c r="F252" s="35">
        <v>66.36</v>
      </c>
      <c r="G252" s="35"/>
      <c r="H252" s="36"/>
    </row>
    <row r="253" spans="1:8" ht="26.25" x14ac:dyDescent="0.25">
      <c r="A253" s="192" t="s">
        <v>160</v>
      </c>
      <c r="B253" s="193">
        <v>3233</v>
      </c>
      <c r="C253" s="194">
        <v>3233</v>
      </c>
      <c r="D253" s="32" t="s">
        <v>86</v>
      </c>
      <c r="E253" s="35"/>
      <c r="F253" s="35">
        <v>1327.23</v>
      </c>
      <c r="G253" s="35">
        <v>138.19999999999999</v>
      </c>
      <c r="H253" s="36"/>
    </row>
    <row r="254" spans="1:8" x14ac:dyDescent="0.25">
      <c r="A254" s="192">
        <v>3233</v>
      </c>
      <c r="B254" s="193">
        <v>3233</v>
      </c>
      <c r="C254" s="194">
        <v>3233</v>
      </c>
      <c r="D254" s="29" t="s">
        <v>51</v>
      </c>
      <c r="E254" s="35">
        <f>43.34/E2</f>
        <v>5.75</v>
      </c>
      <c r="F254" s="35">
        <v>13.27</v>
      </c>
      <c r="G254" s="35"/>
      <c r="H254" s="36"/>
    </row>
    <row r="255" spans="1:8" x14ac:dyDescent="0.25">
      <c r="A255" s="192">
        <v>3235</v>
      </c>
      <c r="B255" s="193">
        <v>3235</v>
      </c>
      <c r="C255" s="194">
        <v>3235</v>
      </c>
      <c r="D255" s="29" t="s">
        <v>53</v>
      </c>
      <c r="E255" s="35">
        <f>300/E2</f>
        <v>39.82</v>
      </c>
      <c r="F255" s="35">
        <v>66.36</v>
      </c>
      <c r="G255" s="35">
        <v>0.4</v>
      </c>
      <c r="H255" s="36"/>
    </row>
    <row r="256" spans="1:8" x14ac:dyDescent="0.25">
      <c r="A256" s="192">
        <v>3237</v>
      </c>
      <c r="B256" s="193">
        <v>3237</v>
      </c>
      <c r="C256" s="194">
        <v>3237</v>
      </c>
      <c r="D256" s="29" t="s">
        <v>55</v>
      </c>
      <c r="E256" s="35"/>
      <c r="F256" s="35">
        <v>66.36</v>
      </c>
      <c r="G256" s="35"/>
      <c r="H256" s="36"/>
    </row>
    <row r="257" spans="1:8" x14ac:dyDescent="0.25">
      <c r="A257" s="192">
        <v>3239</v>
      </c>
      <c r="B257" s="193">
        <v>3239</v>
      </c>
      <c r="C257" s="194">
        <v>3239</v>
      </c>
      <c r="D257" s="29" t="s">
        <v>57</v>
      </c>
      <c r="E257" s="35">
        <f>295.8/E2</f>
        <v>39.26</v>
      </c>
      <c r="F257" s="35">
        <v>199.08</v>
      </c>
      <c r="G257" s="35">
        <v>0.01</v>
      </c>
      <c r="H257" s="36"/>
    </row>
    <row r="258" spans="1:8" x14ac:dyDescent="0.25">
      <c r="A258" s="195" t="s">
        <v>184</v>
      </c>
      <c r="B258" s="196"/>
      <c r="C258" s="197"/>
      <c r="D258" s="78" t="s">
        <v>71</v>
      </c>
      <c r="E258" s="79">
        <f>SUM(E259:E260)</f>
        <v>1289.31</v>
      </c>
      <c r="F258" s="79">
        <f>SUM(F259:F260)</f>
        <v>676.88</v>
      </c>
      <c r="G258" s="79">
        <f>SUM(G259:G260)</f>
        <v>438.33</v>
      </c>
      <c r="H258" s="79">
        <f t="shared" ref="H258:H321" si="52">G258/F258*100</f>
        <v>64.760000000000005</v>
      </c>
    </row>
    <row r="259" spans="1:8" x14ac:dyDescent="0.25">
      <c r="A259" s="192">
        <v>3293</v>
      </c>
      <c r="B259" s="193">
        <v>3293</v>
      </c>
      <c r="C259" s="194">
        <v>3293</v>
      </c>
      <c r="D259" s="29" t="s">
        <v>58</v>
      </c>
      <c r="E259" s="35">
        <f>2245.43/E2</f>
        <v>298.02</v>
      </c>
      <c r="F259" s="35">
        <v>305.26</v>
      </c>
      <c r="G259" s="35">
        <v>100.08</v>
      </c>
      <c r="H259" s="36"/>
    </row>
    <row r="260" spans="1:8" x14ac:dyDescent="0.25">
      <c r="A260" s="192">
        <v>3299</v>
      </c>
      <c r="B260" s="193">
        <v>3299</v>
      </c>
      <c r="C260" s="194">
        <v>3299</v>
      </c>
      <c r="D260" s="29" t="s">
        <v>61</v>
      </c>
      <c r="E260" s="35">
        <f>7468.88/E2</f>
        <v>991.29</v>
      </c>
      <c r="F260" s="35">
        <v>371.62</v>
      </c>
      <c r="G260" s="35">
        <v>338.25</v>
      </c>
      <c r="H260" s="36"/>
    </row>
    <row r="261" spans="1:8" x14ac:dyDescent="0.25">
      <c r="A261" s="189">
        <v>34</v>
      </c>
      <c r="B261" s="190"/>
      <c r="C261" s="191"/>
      <c r="D261" s="61" t="s">
        <v>88</v>
      </c>
      <c r="E261" s="60">
        <f>E262</f>
        <v>50.05</v>
      </c>
      <c r="F261" s="60">
        <f>F262</f>
        <v>159.27000000000001</v>
      </c>
      <c r="G261" s="60">
        <f>G262</f>
        <v>0</v>
      </c>
      <c r="H261" s="60">
        <f t="shared" si="52"/>
        <v>0</v>
      </c>
    </row>
    <row r="262" spans="1:8" x14ac:dyDescent="0.25">
      <c r="A262" s="195" t="s">
        <v>199</v>
      </c>
      <c r="B262" s="196"/>
      <c r="C262" s="197"/>
      <c r="D262" s="78" t="s">
        <v>102</v>
      </c>
      <c r="E262" s="79">
        <f>SUM(E263:E264)</f>
        <v>50.05</v>
      </c>
      <c r="F262" s="79">
        <f>SUM(F263:F264)</f>
        <v>159.27000000000001</v>
      </c>
      <c r="G262" s="79">
        <f>SUM(G263:G264)</f>
        <v>0</v>
      </c>
      <c r="H262" s="79">
        <f t="shared" si="52"/>
        <v>0</v>
      </c>
    </row>
    <row r="263" spans="1:8" ht="26.25" x14ac:dyDescent="0.25">
      <c r="A263" s="192" t="s">
        <v>149</v>
      </c>
      <c r="B263" s="193">
        <v>3293</v>
      </c>
      <c r="C263" s="194">
        <v>3293</v>
      </c>
      <c r="D263" s="32" t="s">
        <v>89</v>
      </c>
      <c r="E263" s="35">
        <f>172.82/E2</f>
        <v>22.94</v>
      </c>
      <c r="F263" s="35">
        <v>119.45</v>
      </c>
      <c r="G263" s="35">
        <v>0</v>
      </c>
      <c r="H263" s="36"/>
    </row>
    <row r="264" spans="1:8" x14ac:dyDescent="0.25">
      <c r="A264" s="192" t="s">
        <v>161</v>
      </c>
      <c r="B264" s="193">
        <v>3299</v>
      </c>
      <c r="C264" s="194">
        <v>3299</v>
      </c>
      <c r="D264" s="65" t="s">
        <v>90</v>
      </c>
      <c r="E264" s="35">
        <f>204.28/E2</f>
        <v>27.11</v>
      </c>
      <c r="F264" s="35">
        <v>39.82</v>
      </c>
      <c r="G264" s="35">
        <v>0</v>
      </c>
      <c r="H264" s="36"/>
    </row>
    <row r="265" spans="1:8" x14ac:dyDescent="0.25">
      <c r="A265" s="189">
        <v>38</v>
      </c>
      <c r="B265" s="190"/>
      <c r="C265" s="191"/>
      <c r="D265" s="61" t="s">
        <v>88</v>
      </c>
      <c r="E265" s="60">
        <v>0</v>
      </c>
      <c r="F265" s="60">
        <f>F266</f>
        <v>0</v>
      </c>
      <c r="G265" s="60">
        <f>G266</f>
        <v>5</v>
      </c>
      <c r="H265" s="60"/>
    </row>
    <row r="266" spans="1:8" x14ac:dyDescent="0.25">
      <c r="A266" s="192" t="s">
        <v>216</v>
      </c>
      <c r="B266" s="193">
        <v>3293</v>
      </c>
      <c r="C266" s="194">
        <v>3293</v>
      </c>
      <c r="D266" s="32" t="s">
        <v>61</v>
      </c>
      <c r="E266" s="35"/>
      <c r="F266" s="35">
        <v>0</v>
      </c>
      <c r="G266" s="35">
        <v>5</v>
      </c>
      <c r="H266" s="36"/>
    </row>
    <row r="267" spans="1:8" ht="25.5" x14ac:dyDescent="0.25">
      <c r="A267" s="186">
        <v>4</v>
      </c>
      <c r="B267" s="187"/>
      <c r="C267" s="188"/>
      <c r="D267" s="39" t="s">
        <v>19</v>
      </c>
      <c r="E267" s="40">
        <f>E268</f>
        <v>4443.63</v>
      </c>
      <c r="F267" s="40">
        <f>F268</f>
        <v>1795.61</v>
      </c>
      <c r="G267" s="40">
        <f>G268</f>
        <v>77.25</v>
      </c>
      <c r="H267" s="40">
        <f t="shared" si="52"/>
        <v>4.3</v>
      </c>
    </row>
    <row r="268" spans="1:8" ht="25.5" x14ac:dyDescent="0.25">
      <c r="A268" s="189">
        <v>42</v>
      </c>
      <c r="B268" s="190"/>
      <c r="C268" s="191"/>
      <c r="D268" s="61" t="s">
        <v>93</v>
      </c>
      <c r="E268" s="60">
        <f>E269+E273</f>
        <v>4443.63</v>
      </c>
      <c r="F268" s="60">
        <f>F269+F273</f>
        <v>1795.61</v>
      </c>
      <c r="G268" s="60">
        <f>G269+G273</f>
        <v>77.25</v>
      </c>
      <c r="H268" s="60">
        <f t="shared" si="52"/>
        <v>4.3</v>
      </c>
    </row>
    <row r="269" spans="1:8" x14ac:dyDescent="0.25">
      <c r="A269" s="195" t="s">
        <v>218</v>
      </c>
      <c r="B269" s="196"/>
      <c r="C269" s="197"/>
      <c r="D269" s="78" t="s">
        <v>94</v>
      </c>
      <c r="E269" s="79">
        <f>SUM(E270:E272)</f>
        <v>4375.96</v>
      </c>
      <c r="F269" s="79">
        <f>SUM(F270:F272)</f>
        <v>1755.79</v>
      </c>
      <c r="G269" s="79">
        <f>SUM(G270:G272)</f>
        <v>50.22</v>
      </c>
      <c r="H269" s="79">
        <f t="shared" si="52"/>
        <v>2.86</v>
      </c>
    </row>
    <row r="270" spans="1:8" x14ac:dyDescent="0.25">
      <c r="A270" s="192" t="s">
        <v>162</v>
      </c>
      <c r="B270" s="193"/>
      <c r="C270" s="194"/>
      <c r="D270" s="32" t="s">
        <v>95</v>
      </c>
      <c r="E270" s="35">
        <f>18916.5/E2</f>
        <v>2510.65</v>
      </c>
      <c r="F270" s="35">
        <v>1327.23</v>
      </c>
      <c r="G270" s="35">
        <v>50.22</v>
      </c>
      <c r="H270" s="36"/>
    </row>
    <row r="271" spans="1:8" x14ac:dyDescent="0.25">
      <c r="A271" s="192" t="s">
        <v>163</v>
      </c>
      <c r="B271" s="193"/>
      <c r="C271" s="194"/>
      <c r="D271" s="32" t="s">
        <v>96</v>
      </c>
      <c r="E271" s="35"/>
      <c r="F271" s="35">
        <v>295.83999999999997</v>
      </c>
      <c r="G271" s="35"/>
      <c r="H271" s="36"/>
    </row>
    <row r="272" spans="1:8" ht="20.25" customHeight="1" x14ac:dyDescent="0.25">
      <c r="A272" s="192" t="s">
        <v>164</v>
      </c>
      <c r="B272" s="193"/>
      <c r="C272" s="194"/>
      <c r="D272" s="32" t="s">
        <v>97</v>
      </c>
      <c r="E272" s="35">
        <f>14054.19/E2</f>
        <v>1865.31</v>
      </c>
      <c r="F272" s="35">
        <v>132.72</v>
      </c>
      <c r="G272" s="35"/>
      <c r="H272" s="36"/>
    </row>
    <row r="273" spans="1:8" x14ac:dyDescent="0.25">
      <c r="A273" s="195" t="s">
        <v>219</v>
      </c>
      <c r="B273" s="196"/>
      <c r="C273" s="197"/>
      <c r="D273" s="78" t="s">
        <v>220</v>
      </c>
      <c r="E273" s="79">
        <f>E274</f>
        <v>67.67</v>
      </c>
      <c r="F273" s="79">
        <f>F274</f>
        <v>39.82</v>
      </c>
      <c r="G273" s="79">
        <f>G274</f>
        <v>27.03</v>
      </c>
      <c r="H273" s="79">
        <f t="shared" si="52"/>
        <v>67.88</v>
      </c>
    </row>
    <row r="274" spans="1:8" x14ac:dyDescent="0.25">
      <c r="A274" s="192" t="s">
        <v>165</v>
      </c>
      <c r="B274" s="193"/>
      <c r="C274" s="194"/>
      <c r="D274" s="32" t="s">
        <v>98</v>
      </c>
      <c r="E274" s="35">
        <f>509.86/E2</f>
        <v>67.67</v>
      </c>
      <c r="F274" s="35">
        <v>39.82</v>
      </c>
      <c r="G274" s="35">
        <v>27.03</v>
      </c>
      <c r="H274" s="36">
        <f t="shared" si="52"/>
        <v>67.88</v>
      </c>
    </row>
    <row r="275" spans="1:8" ht="15" customHeight="1" x14ac:dyDescent="0.25">
      <c r="A275" s="183" t="s">
        <v>133</v>
      </c>
      <c r="B275" s="184"/>
      <c r="C275" s="185"/>
      <c r="D275" s="42" t="s">
        <v>134</v>
      </c>
      <c r="E275" s="42">
        <f>E276+E286</f>
        <v>14913.63</v>
      </c>
      <c r="F275" s="42">
        <f t="shared" ref="F275" si="53">F276+F286</f>
        <v>14463.47</v>
      </c>
      <c r="G275" s="42">
        <f>G276+G286</f>
        <v>13925.47</v>
      </c>
      <c r="H275" s="42">
        <f t="shared" si="52"/>
        <v>96.28</v>
      </c>
    </row>
    <row r="276" spans="1:8" x14ac:dyDescent="0.25">
      <c r="A276" s="186">
        <v>3</v>
      </c>
      <c r="B276" s="187"/>
      <c r="C276" s="188"/>
      <c r="D276" s="39" t="s">
        <v>17</v>
      </c>
      <c r="E276" s="40">
        <f>E277</f>
        <v>14899.37</v>
      </c>
      <c r="F276" s="40">
        <f>F277</f>
        <v>14463.47</v>
      </c>
      <c r="G276" s="40">
        <f>G277+G284</f>
        <v>13925.47</v>
      </c>
      <c r="H276" s="40">
        <f t="shared" si="52"/>
        <v>96.28</v>
      </c>
    </row>
    <row r="277" spans="1:8" x14ac:dyDescent="0.25">
      <c r="A277" s="189">
        <v>32</v>
      </c>
      <c r="B277" s="190"/>
      <c r="C277" s="191"/>
      <c r="D277" s="61" t="s">
        <v>25</v>
      </c>
      <c r="E277" s="60">
        <f>E278+E281</f>
        <v>14899.37</v>
      </c>
      <c r="F277" s="60">
        <f>F278+F281</f>
        <v>14463.47</v>
      </c>
      <c r="G277" s="60">
        <f>G278+G281</f>
        <v>13649.47</v>
      </c>
      <c r="H277" s="60">
        <f t="shared" si="52"/>
        <v>94.37</v>
      </c>
    </row>
    <row r="278" spans="1:8" x14ac:dyDescent="0.25">
      <c r="A278" s="195" t="s">
        <v>193</v>
      </c>
      <c r="B278" s="196"/>
      <c r="C278" s="197"/>
      <c r="D278" s="78" t="s">
        <v>66</v>
      </c>
      <c r="E278" s="79">
        <f>SUM(E279:E280)</f>
        <v>10695.47</v>
      </c>
      <c r="F278" s="79">
        <f>SUM(F279:F280)</f>
        <v>11410.84</v>
      </c>
      <c r="G278" s="79">
        <f>SUM(G279:G280)</f>
        <v>8566.94</v>
      </c>
      <c r="H278" s="79">
        <f t="shared" si="52"/>
        <v>75.08</v>
      </c>
    </row>
    <row r="279" spans="1:8" x14ac:dyDescent="0.25">
      <c r="A279" s="192">
        <v>3231</v>
      </c>
      <c r="B279" s="193">
        <v>3231</v>
      </c>
      <c r="C279" s="194">
        <v>3231</v>
      </c>
      <c r="D279" s="29" t="s">
        <v>50</v>
      </c>
      <c r="E279" s="35">
        <f>80585/E2</f>
        <v>10695.47</v>
      </c>
      <c r="F279" s="35">
        <v>10352.379999999999</v>
      </c>
      <c r="G279" s="35">
        <v>8303.2999999999993</v>
      </c>
      <c r="H279" s="36"/>
    </row>
    <row r="280" spans="1:8" ht="26.25" x14ac:dyDescent="0.25">
      <c r="A280" s="192" t="s">
        <v>160</v>
      </c>
      <c r="B280" s="193">
        <v>3233</v>
      </c>
      <c r="C280" s="194">
        <v>3233</v>
      </c>
      <c r="D280" s="32" t="s">
        <v>86</v>
      </c>
      <c r="E280" s="35"/>
      <c r="F280" s="35">
        <v>1058.46</v>
      </c>
      <c r="G280" s="35">
        <v>263.64</v>
      </c>
      <c r="H280" s="36"/>
    </row>
    <row r="281" spans="1:8" x14ac:dyDescent="0.25">
      <c r="A281" s="195" t="s">
        <v>184</v>
      </c>
      <c r="B281" s="196"/>
      <c r="C281" s="197"/>
      <c r="D281" s="78" t="s">
        <v>71</v>
      </c>
      <c r="E281" s="79">
        <f>SUM(E282:E283)</f>
        <v>4203.8999999999996</v>
      </c>
      <c r="F281" s="79">
        <f>SUM(F282:F283)</f>
        <v>3052.63</v>
      </c>
      <c r="G281" s="79">
        <f>SUM(G282:G283)</f>
        <v>5082.53</v>
      </c>
      <c r="H281" s="79">
        <f t="shared" si="52"/>
        <v>166.5</v>
      </c>
    </row>
    <row r="282" spans="1:8" x14ac:dyDescent="0.25">
      <c r="A282" s="192" t="s">
        <v>166</v>
      </c>
      <c r="B282" s="193">
        <v>3295</v>
      </c>
      <c r="C282" s="194">
        <v>3295</v>
      </c>
      <c r="D282" s="32" t="s">
        <v>87</v>
      </c>
      <c r="E282" s="35">
        <f>13650/E2</f>
        <v>1811.67</v>
      </c>
      <c r="F282" s="35">
        <v>1844.85</v>
      </c>
      <c r="G282" s="35">
        <v>1724</v>
      </c>
      <c r="H282" s="36"/>
    </row>
    <row r="283" spans="1:8" x14ac:dyDescent="0.25">
      <c r="A283" s="192">
        <v>3299</v>
      </c>
      <c r="B283" s="193">
        <v>3299</v>
      </c>
      <c r="C283" s="194">
        <v>3299</v>
      </c>
      <c r="D283" s="29" t="s">
        <v>61</v>
      </c>
      <c r="E283" s="35">
        <f>18024.27/E2</f>
        <v>2392.23</v>
      </c>
      <c r="F283" s="35">
        <v>1207.78</v>
      </c>
      <c r="G283" s="35">
        <v>3358.53</v>
      </c>
      <c r="H283" s="36"/>
    </row>
    <row r="284" spans="1:8" x14ac:dyDescent="0.25">
      <c r="A284" s="189">
        <v>38</v>
      </c>
      <c r="B284" s="190"/>
      <c r="C284" s="191"/>
      <c r="D284" s="61" t="s">
        <v>137</v>
      </c>
      <c r="E284" s="60">
        <v>0</v>
      </c>
      <c r="F284" s="60">
        <f>F285</f>
        <v>0</v>
      </c>
      <c r="G284" s="60">
        <f>G285</f>
        <v>276</v>
      </c>
      <c r="H284" s="60"/>
    </row>
    <row r="285" spans="1:8" x14ac:dyDescent="0.25">
      <c r="A285" s="192" t="s">
        <v>216</v>
      </c>
      <c r="B285" s="193">
        <v>3293</v>
      </c>
      <c r="C285" s="194">
        <v>3293</v>
      </c>
      <c r="D285" s="32" t="s">
        <v>91</v>
      </c>
      <c r="E285" s="35"/>
      <c r="F285" s="35">
        <v>0</v>
      </c>
      <c r="G285" s="35">
        <v>276</v>
      </c>
      <c r="H285" s="36"/>
    </row>
    <row r="286" spans="1:8" ht="25.5" x14ac:dyDescent="0.25">
      <c r="A286" s="186">
        <v>4</v>
      </c>
      <c r="B286" s="187"/>
      <c r="C286" s="188"/>
      <c r="D286" s="147" t="s">
        <v>19</v>
      </c>
      <c r="E286" s="40">
        <f>E287</f>
        <v>14.26</v>
      </c>
      <c r="F286" s="40">
        <f t="shared" ref="F286:G286" si="54">F287</f>
        <v>0</v>
      </c>
      <c r="G286" s="40">
        <f t="shared" si="54"/>
        <v>0</v>
      </c>
      <c r="H286" s="40"/>
    </row>
    <row r="287" spans="1:8" ht="25.5" x14ac:dyDescent="0.25">
      <c r="A287" s="189">
        <v>42</v>
      </c>
      <c r="B287" s="190"/>
      <c r="C287" s="191"/>
      <c r="D287" s="61" t="s">
        <v>93</v>
      </c>
      <c r="E287" s="60">
        <f>E288</f>
        <v>14.26</v>
      </c>
      <c r="F287" s="60">
        <f t="shared" ref="F287:G287" si="55">F288</f>
        <v>0</v>
      </c>
      <c r="G287" s="60">
        <f t="shared" si="55"/>
        <v>0</v>
      </c>
      <c r="H287" s="60"/>
    </row>
    <row r="288" spans="1:8" x14ac:dyDescent="0.25">
      <c r="A288" s="195" t="s">
        <v>219</v>
      </c>
      <c r="B288" s="196"/>
      <c r="C288" s="197"/>
      <c r="D288" s="78" t="s">
        <v>220</v>
      </c>
      <c r="E288" s="79">
        <f>E289</f>
        <v>14.26</v>
      </c>
      <c r="F288" s="79">
        <f>F289</f>
        <v>0</v>
      </c>
      <c r="G288" s="79">
        <f>G289</f>
        <v>0</v>
      </c>
      <c r="H288" s="79"/>
    </row>
    <row r="289" spans="1:8" x14ac:dyDescent="0.25">
      <c r="A289" s="192" t="s">
        <v>165</v>
      </c>
      <c r="B289" s="193"/>
      <c r="C289" s="194"/>
      <c r="D289" s="32" t="s">
        <v>98</v>
      </c>
      <c r="E289" s="35">
        <f>107.41/E2</f>
        <v>14.26</v>
      </c>
      <c r="F289" s="35"/>
      <c r="G289" s="35"/>
      <c r="H289" s="36"/>
    </row>
    <row r="290" spans="1:8" ht="15" customHeight="1" x14ac:dyDescent="0.25">
      <c r="A290" s="183" t="s">
        <v>135</v>
      </c>
      <c r="B290" s="184"/>
      <c r="C290" s="185"/>
      <c r="D290" s="42" t="s">
        <v>136</v>
      </c>
      <c r="E290" s="42">
        <f>E291+E319</f>
        <v>7148.52</v>
      </c>
      <c r="F290" s="42">
        <f>F291+F319</f>
        <v>15488.84</v>
      </c>
      <c r="G290" s="42">
        <f>G291+G319</f>
        <v>8941.31</v>
      </c>
      <c r="H290" s="42">
        <f t="shared" si="52"/>
        <v>57.73</v>
      </c>
    </row>
    <row r="291" spans="1:8" x14ac:dyDescent="0.25">
      <c r="A291" s="186">
        <v>3</v>
      </c>
      <c r="B291" s="187"/>
      <c r="C291" s="188"/>
      <c r="D291" s="39" t="s">
        <v>17</v>
      </c>
      <c r="E291" s="40">
        <f>E292+E316</f>
        <v>4705.08</v>
      </c>
      <c r="F291" s="40">
        <f>F292+F316</f>
        <v>14294.33</v>
      </c>
      <c r="G291" s="40">
        <f>G292+G316</f>
        <v>7425.49</v>
      </c>
      <c r="H291" s="40">
        <f t="shared" si="52"/>
        <v>51.95</v>
      </c>
    </row>
    <row r="292" spans="1:8" x14ac:dyDescent="0.25">
      <c r="A292" s="189">
        <v>32</v>
      </c>
      <c r="B292" s="190"/>
      <c r="C292" s="191"/>
      <c r="D292" s="61" t="s">
        <v>25</v>
      </c>
      <c r="E292" s="60">
        <f>E293+E296+E301++E311</f>
        <v>4705.08</v>
      </c>
      <c r="F292" s="60">
        <f>F293+F296+F301++F311</f>
        <v>14294.33</v>
      </c>
      <c r="G292" s="60">
        <f>G293+G296+G301++G311</f>
        <v>7425.49</v>
      </c>
      <c r="H292" s="60">
        <f t="shared" si="52"/>
        <v>51.95</v>
      </c>
    </row>
    <row r="293" spans="1:8" x14ac:dyDescent="0.25">
      <c r="A293" s="195" t="s">
        <v>183</v>
      </c>
      <c r="B293" s="196"/>
      <c r="C293" s="197"/>
      <c r="D293" s="78" t="s">
        <v>78</v>
      </c>
      <c r="E293" s="79">
        <f>E294+E295</f>
        <v>605.91</v>
      </c>
      <c r="F293" s="79">
        <f>F294+F295</f>
        <v>8202.35</v>
      </c>
      <c r="G293" s="79">
        <f>G294+G295</f>
        <v>1830.68</v>
      </c>
      <c r="H293" s="79">
        <f t="shared" si="52"/>
        <v>22.32</v>
      </c>
    </row>
    <row r="294" spans="1:8" x14ac:dyDescent="0.25">
      <c r="A294" s="192">
        <v>3211</v>
      </c>
      <c r="B294" s="193"/>
      <c r="C294" s="194"/>
      <c r="D294" s="29" t="s">
        <v>44</v>
      </c>
      <c r="E294" s="35">
        <f>4116.28/E2</f>
        <v>546.32000000000005</v>
      </c>
      <c r="F294" s="35">
        <v>6202.35</v>
      </c>
      <c r="G294" s="35">
        <f>91.7+1478.98+182</f>
        <v>1752.68</v>
      </c>
      <c r="H294" s="36"/>
    </row>
    <row r="295" spans="1:8" x14ac:dyDescent="0.25">
      <c r="A295" s="192">
        <v>3213</v>
      </c>
      <c r="B295" s="193">
        <v>3213</v>
      </c>
      <c r="C295" s="194">
        <v>3213</v>
      </c>
      <c r="D295" s="29" t="s">
        <v>45</v>
      </c>
      <c r="E295" s="35">
        <f>449/E2</f>
        <v>59.59</v>
      </c>
      <c r="F295" s="35">
        <v>2000</v>
      </c>
      <c r="G295" s="35">
        <v>78</v>
      </c>
      <c r="H295" s="36"/>
    </row>
    <row r="296" spans="1:8" x14ac:dyDescent="0.25">
      <c r="A296" s="195" t="s">
        <v>189</v>
      </c>
      <c r="B296" s="196"/>
      <c r="C296" s="197"/>
      <c r="D296" s="78" t="s">
        <v>64</v>
      </c>
      <c r="E296" s="79">
        <f>SUM(E297:E300)</f>
        <v>755.71</v>
      </c>
      <c r="F296" s="79">
        <f>SUM(F297:F300)</f>
        <v>2243.02</v>
      </c>
      <c r="G296" s="79">
        <f>SUM(G297:G300)</f>
        <v>2228.8000000000002</v>
      </c>
      <c r="H296" s="79">
        <f t="shared" si="52"/>
        <v>99.37</v>
      </c>
    </row>
    <row r="297" spans="1:8" x14ac:dyDescent="0.25">
      <c r="A297" s="192">
        <v>3221</v>
      </c>
      <c r="B297" s="193">
        <v>3221</v>
      </c>
      <c r="C297" s="194">
        <v>3221</v>
      </c>
      <c r="D297" s="29" t="s">
        <v>46</v>
      </c>
      <c r="E297" s="35">
        <f>1199/E2</f>
        <v>159.13</v>
      </c>
      <c r="F297" s="35">
        <v>1393.59</v>
      </c>
      <c r="G297" s="35">
        <v>336.72</v>
      </c>
      <c r="H297" s="36"/>
    </row>
    <row r="298" spans="1:8" x14ac:dyDescent="0.25">
      <c r="A298" s="192">
        <v>3223</v>
      </c>
      <c r="B298" s="193">
        <v>3223</v>
      </c>
      <c r="C298" s="194">
        <v>3223</v>
      </c>
      <c r="D298" s="29" t="s">
        <v>47</v>
      </c>
      <c r="E298" s="35"/>
      <c r="F298" s="35">
        <v>0</v>
      </c>
      <c r="G298" s="35">
        <v>0</v>
      </c>
      <c r="H298" s="36"/>
    </row>
    <row r="299" spans="1:8" x14ac:dyDescent="0.25">
      <c r="A299" s="192">
        <v>3225</v>
      </c>
      <c r="B299" s="193">
        <v>3225</v>
      </c>
      <c r="C299" s="194">
        <v>3225</v>
      </c>
      <c r="D299" s="29" t="s">
        <v>48</v>
      </c>
      <c r="E299" s="35">
        <f>4494.96/E2</f>
        <v>596.58000000000004</v>
      </c>
      <c r="F299" s="35">
        <v>849.43</v>
      </c>
      <c r="G299" s="35">
        <v>1892.08</v>
      </c>
      <c r="H299" s="36"/>
    </row>
    <row r="300" spans="1:8" x14ac:dyDescent="0.25">
      <c r="A300" s="192">
        <v>3227</v>
      </c>
      <c r="B300" s="193">
        <v>3227</v>
      </c>
      <c r="C300" s="194">
        <v>3227</v>
      </c>
      <c r="D300" s="29" t="s">
        <v>49</v>
      </c>
      <c r="E300" s="35"/>
      <c r="F300" s="35">
        <v>0</v>
      </c>
      <c r="G300" s="35">
        <v>0</v>
      </c>
      <c r="H300" s="36"/>
    </row>
    <row r="301" spans="1:8" x14ac:dyDescent="0.25">
      <c r="A301" s="195" t="s">
        <v>193</v>
      </c>
      <c r="B301" s="196"/>
      <c r="C301" s="197"/>
      <c r="D301" s="78" t="s">
        <v>66</v>
      </c>
      <c r="E301" s="79">
        <f>SUM(E302:E310)</f>
        <v>3214.82</v>
      </c>
      <c r="F301" s="79">
        <f>SUM(F302:F310)</f>
        <v>3410.97</v>
      </c>
      <c r="G301" s="79">
        <f>SUM(G302:G310)</f>
        <v>983.2</v>
      </c>
      <c r="H301" s="79">
        <f t="shared" si="52"/>
        <v>28.82</v>
      </c>
    </row>
    <row r="302" spans="1:8" x14ac:dyDescent="0.25">
      <c r="A302" s="192">
        <v>3231</v>
      </c>
      <c r="B302" s="193">
        <v>3231</v>
      </c>
      <c r="C302" s="194">
        <v>3231</v>
      </c>
      <c r="D302" s="29" t="s">
        <v>50</v>
      </c>
      <c r="E302" s="35">
        <f>7492.5/E2</f>
        <v>994.43</v>
      </c>
      <c r="F302" s="35">
        <v>1526.31</v>
      </c>
      <c r="G302" s="35">
        <v>738.91</v>
      </c>
      <c r="H302" s="36"/>
    </row>
    <row r="303" spans="1:8" x14ac:dyDescent="0.25">
      <c r="A303" s="192" t="s">
        <v>160</v>
      </c>
      <c r="B303" s="193">
        <v>3231</v>
      </c>
      <c r="C303" s="194">
        <v>3231</v>
      </c>
      <c r="D303" s="29" t="s">
        <v>375</v>
      </c>
      <c r="E303" s="35">
        <f>16729.5/E2</f>
        <v>2220.39</v>
      </c>
      <c r="F303" s="35">
        <v>0</v>
      </c>
      <c r="G303" s="35">
        <v>0</v>
      </c>
      <c r="H303" s="36"/>
    </row>
    <row r="304" spans="1:8" x14ac:dyDescent="0.25">
      <c r="A304" s="192">
        <v>3233</v>
      </c>
      <c r="B304" s="193">
        <v>3233</v>
      </c>
      <c r="C304" s="194">
        <v>3233</v>
      </c>
      <c r="D304" s="29" t="s">
        <v>51</v>
      </c>
      <c r="E304" s="35"/>
      <c r="F304" s="35">
        <v>0</v>
      </c>
      <c r="G304" s="35">
        <v>0</v>
      </c>
      <c r="H304" s="36"/>
    </row>
    <row r="305" spans="1:8" x14ac:dyDescent="0.25">
      <c r="A305" s="192">
        <v>3234</v>
      </c>
      <c r="B305" s="193">
        <v>3234</v>
      </c>
      <c r="C305" s="194">
        <v>3234</v>
      </c>
      <c r="D305" s="29" t="s">
        <v>52</v>
      </c>
      <c r="E305" s="35"/>
      <c r="F305" s="35">
        <v>0</v>
      </c>
      <c r="G305" s="35">
        <v>0</v>
      </c>
      <c r="H305" s="36"/>
    </row>
    <row r="306" spans="1:8" x14ac:dyDescent="0.25">
      <c r="A306" s="192">
        <v>3235</v>
      </c>
      <c r="B306" s="193">
        <v>3235</v>
      </c>
      <c r="C306" s="194">
        <v>3235</v>
      </c>
      <c r="D306" s="29" t="s">
        <v>53</v>
      </c>
      <c r="E306" s="35"/>
      <c r="F306" s="35">
        <v>66.36</v>
      </c>
      <c r="G306" s="35">
        <v>0</v>
      </c>
      <c r="H306" s="36"/>
    </row>
    <row r="307" spans="1:8" x14ac:dyDescent="0.25">
      <c r="A307" s="192">
        <v>3236</v>
      </c>
      <c r="B307" s="193">
        <v>3236</v>
      </c>
      <c r="C307" s="194">
        <v>3236</v>
      </c>
      <c r="D307" s="29" t="s">
        <v>54</v>
      </c>
      <c r="E307" s="35"/>
      <c r="F307" s="35">
        <v>0</v>
      </c>
      <c r="G307" s="35">
        <v>0</v>
      </c>
      <c r="H307" s="36"/>
    </row>
    <row r="308" spans="1:8" x14ac:dyDescent="0.25">
      <c r="A308" s="192">
        <v>3237</v>
      </c>
      <c r="B308" s="193">
        <v>3237</v>
      </c>
      <c r="C308" s="194">
        <v>3237</v>
      </c>
      <c r="D308" s="29" t="s">
        <v>55</v>
      </c>
      <c r="E308" s="35"/>
      <c r="F308" s="35">
        <v>0</v>
      </c>
      <c r="G308" s="35">
        <v>244.29</v>
      </c>
      <c r="H308" s="36"/>
    </row>
    <row r="309" spans="1:8" x14ac:dyDescent="0.25">
      <c r="A309" s="192">
        <v>3238</v>
      </c>
      <c r="B309" s="193">
        <v>3238</v>
      </c>
      <c r="C309" s="194">
        <v>3238</v>
      </c>
      <c r="D309" s="29" t="s">
        <v>56</v>
      </c>
      <c r="E309" s="35"/>
      <c r="F309" s="35">
        <v>0</v>
      </c>
      <c r="G309" s="35">
        <v>0</v>
      </c>
      <c r="H309" s="36"/>
    </row>
    <row r="310" spans="1:8" x14ac:dyDescent="0.25">
      <c r="A310" s="192">
        <v>3239</v>
      </c>
      <c r="B310" s="193">
        <v>3239</v>
      </c>
      <c r="C310" s="194">
        <v>3239</v>
      </c>
      <c r="D310" s="29" t="s">
        <v>57</v>
      </c>
      <c r="E310" s="35"/>
      <c r="F310" s="35">
        <v>1818.3</v>
      </c>
      <c r="G310" s="35">
        <v>0</v>
      </c>
      <c r="H310" s="36"/>
    </row>
    <row r="311" spans="1:8" x14ac:dyDescent="0.25">
      <c r="A311" s="195" t="s">
        <v>184</v>
      </c>
      <c r="B311" s="196"/>
      <c r="C311" s="197"/>
      <c r="D311" s="78" t="s">
        <v>71</v>
      </c>
      <c r="E311" s="79">
        <f>SUM(E312:E315)</f>
        <v>128.63999999999999</v>
      </c>
      <c r="F311" s="79">
        <f>SUM(F312:F315)</f>
        <v>437.99</v>
      </c>
      <c r="G311" s="79">
        <f>SUM(G312:G315)</f>
        <v>2382.81</v>
      </c>
      <c r="H311" s="79">
        <f t="shared" si="52"/>
        <v>544.03</v>
      </c>
    </row>
    <row r="312" spans="1:8" x14ac:dyDescent="0.25">
      <c r="A312" s="192">
        <v>3293</v>
      </c>
      <c r="B312" s="193">
        <v>3293</v>
      </c>
      <c r="C312" s="194">
        <v>3293</v>
      </c>
      <c r="D312" s="29" t="s">
        <v>58</v>
      </c>
      <c r="E312" s="35">
        <f>292.5/E2</f>
        <v>38.82</v>
      </c>
      <c r="F312" s="35">
        <v>106.18</v>
      </c>
      <c r="G312" s="35">
        <v>0</v>
      </c>
      <c r="H312" s="36"/>
    </row>
    <row r="313" spans="1:8" x14ac:dyDescent="0.25">
      <c r="A313" s="192">
        <v>3294</v>
      </c>
      <c r="B313" s="193">
        <v>3294</v>
      </c>
      <c r="C313" s="194">
        <v>3294</v>
      </c>
      <c r="D313" s="29" t="s">
        <v>59</v>
      </c>
      <c r="E313" s="35"/>
      <c r="F313" s="35">
        <v>0</v>
      </c>
      <c r="G313" s="35">
        <v>0</v>
      </c>
      <c r="H313" s="36"/>
    </row>
    <row r="314" spans="1:8" x14ac:dyDescent="0.25">
      <c r="A314" s="192">
        <v>3295</v>
      </c>
      <c r="B314" s="193">
        <v>3295</v>
      </c>
      <c r="C314" s="194">
        <v>3295</v>
      </c>
      <c r="D314" s="29" t="s">
        <v>60</v>
      </c>
      <c r="E314" s="35"/>
      <c r="F314" s="35">
        <v>0</v>
      </c>
      <c r="G314" s="35">
        <v>0</v>
      </c>
      <c r="H314" s="36"/>
    </row>
    <row r="315" spans="1:8" x14ac:dyDescent="0.25">
      <c r="A315" s="192">
        <v>3299</v>
      </c>
      <c r="B315" s="193">
        <v>3299</v>
      </c>
      <c r="C315" s="194">
        <v>3299</v>
      </c>
      <c r="D315" s="29" t="s">
        <v>61</v>
      </c>
      <c r="E315" s="35">
        <f>676.72/E2</f>
        <v>89.82</v>
      </c>
      <c r="F315" s="35">
        <v>331.81</v>
      </c>
      <c r="G315" s="35">
        <v>2382.81</v>
      </c>
      <c r="H315" s="36"/>
    </row>
    <row r="316" spans="1:8" x14ac:dyDescent="0.25">
      <c r="A316" s="189">
        <v>34</v>
      </c>
      <c r="B316" s="190"/>
      <c r="C316" s="191"/>
      <c r="D316" s="61" t="s">
        <v>88</v>
      </c>
      <c r="E316" s="60">
        <f>E317</f>
        <v>0</v>
      </c>
      <c r="F316" s="60">
        <f>F317</f>
        <v>0</v>
      </c>
      <c r="G316" s="60">
        <f>G317</f>
        <v>0</v>
      </c>
      <c r="H316" s="60"/>
    </row>
    <row r="317" spans="1:8" x14ac:dyDescent="0.25">
      <c r="A317" s="195" t="s">
        <v>199</v>
      </c>
      <c r="B317" s="196"/>
      <c r="C317" s="197"/>
      <c r="D317" s="78" t="s">
        <v>102</v>
      </c>
      <c r="E317" s="79"/>
      <c r="F317" s="79"/>
      <c r="G317" s="79">
        <f>G318</f>
        <v>0</v>
      </c>
      <c r="H317" s="79"/>
    </row>
    <row r="318" spans="1:8" x14ac:dyDescent="0.25">
      <c r="A318" s="192" t="s">
        <v>161</v>
      </c>
      <c r="B318" s="193">
        <v>3299</v>
      </c>
      <c r="C318" s="194">
        <v>3299</v>
      </c>
      <c r="D318" s="65" t="s">
        <v>90</v>
      </c>
      <c r="E318" s="35"/>
      <c r="F318" s="35">
        <v>0</v>
      </c>
      <c r="G318" s="35">
        <v>0</v>
      </c>
      <c r="H318" s="36"/>
    </row>
    <row r="319" spans="1:8" ht="25.5" x14ac:dyDescent="0.25">
      <c r="A319" s="186">
        <v>4</v>
      </c>
      <c r="B319" s="187"/>
      <c r="C319" s="188"/>
      <c r="D319" s="39" t="s">
        <v>19</v>
      </c>
      <c r="E319" s="40">
        <f>E320</f>
        <v>2443.44</v>
      </c>
      <c r="F319" s="40">
        <f>F320</f>
        <v>1194.51</v>
      </c>
      <c r="G319" s="40">
        <f>G320</f>
        <v>1515.82</v>
      </c>
      <c r="H319" s="40">
        <f t="shared" si="52"/>
        <v>126.9</v>
      </c>
    </row>
    <row r="320" spans="1:8" ht="25.5" x14ac:dyDescent="0.25">
      <c r="A320" s="189">
        <v>42</v>
      </c>
      <c r="B320" s="190"/>
      <c r="C320" s="191"/>
      <c r="D320" s="61" t="s">
        <v>93</v>
      </c>
      <c r="E320" s="60">
        <f>E321+E324</f>
        <v>2443.44</v>
      </c>
      <c r="F320" s="60">
        <f>F321+F324</f>
        <v>1194.51</v>
      </c>
      <c r="G320" s="60">
        <f>G321+G324</f>
        <v>1515.82</v>
      </c>
      <c r="H320" s="60">
        <f t="shared" si="52"/>
        <v>126.9</v>
      </c>
    </row>
    <row r="321" spans="1:8" x14ac:dyDescent="0.25">
      <c r="A321" s="195" t="s">
        <v>218</v>
      </c>
      <c r="B321" s="196"/>
      <c r="C321" s="197"/>
      <c r="D321" s="78" t="s">
        <v>94</v>
      </c>
      <c r="E321" s="79">
        <f>SUM(E322:E323)</f>
        <v>1554.73</v>
      </c>
      <c r="F321" s="79">
        <f>SUM(F322:F323)</f>
        <v>265.45</v>
      </c>
      <c r="G321" s="79">
        <f>SUM(G322:G323)</f>
        <v>3</v>
      </c>
      <c r="H321" s="79">
        <f t="shared" si="52"/>
        <v>1.1299999999999999</v>
      </c>
    </row>
    <row r="322" spans="1:8" x14ac:dyDescent="0.25">
      <c r="A322" s="192" t="s">
        <v>162</v>
      </c>
      <c r="B322" s="193"/>
      <c r="C322" s="194"/>
      <c r="D322" s="32" t="s">
        <v>95</v>
      </c>
      <c r="E322" s="35">
        <f>10196/E2</f>
        <v>1353.24</v>
      </c>
      <c r="F322" s="35">
        <v>265.45</v>
      </c>
      <c r="G322" s="35">
        <v>3</v>
      </c>
      <c r="H322" s="36"/>
    </row>
    <row r="323" spans="1:8" ht="26.25" x14ac:dyDescent="0.25">
      <c r="A323" s="192" t="s">
        <v>164</v>
      </c>
      <c r="B323" s="193"/>
      <c r="C323" s="194"/>
      <c r="D323" s="32" t="s">
        <v>104</v>
      </c>
      <c r="E323" s="35">
        <f>1518.1/E2</f>
        <v>201.49</v>
      </c>
      <c r="F323" s="35">
        <v>0</v>
      </c>
      <c r="G323" s="35">
        <v>0</v>
      </c>
      <c r="H323" s="36"/>
    </row>
    <row r="324" spans="1:8" x14ac:dyDescent="0.25">
      <c r="A324" s="195" t="s">
        <v>218</v>
      </c>
      <c r="B324" s="196"/>
      <c r="C324" s="197"/>
      <c r="D324" s="78" t="s">
        <v>220</v>
      </c>
      <c r="E324" s="79">
        <f>E325</f>
        <v>888.71</v>
      </c>
      <c r="F324" s="79">
        <f>F325</f>
        <v>929.06</v>
      </c>
      <c r="G324" s="79">
        <f>G325</f>
        <v>1512.82</v>
      </c>
      <c r="H324" s="79">
        <f t="shared" ref="H324:H386" si="56">G324/F324*100</f>
        <v>162.83000000000001</v>
      </c>
    </row>
    <row r="325" spans="1:8" x14ac:dyDescent="0.25">
      <c r="A325" s="192" t="s">
        <v>165</v>
      </c>
      <c r="B325" s="193"/>
      <c r="C325" s="194"/>
      <c r="D325" s="32" t="s">
        <v>98</v>
      </c>
      <c r="E325" s="35">
        <f>6696.02/E2</f>
        <v>888.71</v>
      </c>
      <c r="F325" s="35">
        <v>929.06</v>
      </c>
      <c r="G325" s="35">
        <v>1512.82</v>
      </c>
      <c r="H325" s="36"/>
    </row>
    <row r="326" spans="1:8" ht="15" customHeight="1" x14ac:dyDescent="0.25">
      <c r="A326" s="183" t="s">
        <v>230</v>
      </c>
      <c r="B326" s="184"/>
      <c r="C326" s="185"/>
      <c r="D326" s="42" t="s">
        <v>137</v>
      </c>
      <c r="E326" s="42">
        <f t="shared" ref="E326:G329" si="57">E327</f>
        <v>530.89</v>
      </c>
      <c r="F326" s="42">
        <f t="shared" si="57"/>
        <v>530.89</v>
      </c>
      <c r="G326" s="42">
        <f t="shared" si="57"/>
        <v>0</v>
      </c>
      <c r="H326" s="42">
        <f t="shared" si="56"/>
        <v>0</v>
      </c>
    </row>
    <row r="327" spans="1:8" x14ac:dyDescent="0.25">
      <c r="A327" s="186">
        <v>3</v>
      </c>
      <c r="B327" s="187"/>
      <c r="C327" s="188"/>
      <c r="D327" s="39" t="s">
        <v>17</v>
      </c>
      <c r="E327" s="40">
        <f t="shared" si="57"/>
        <v>530.89</v>
      </c>
      <c r="F327" s="40">
        <f t="shared" si="57"/>
        <v>530.89</v>
      </c>
      <c r="G327" s="40">
        <f t="shared" si="57"/>
        <v>0</v>
      </c>
      <c r="H327" s="40">
        <f t="shared" si="56"/>
        <v>0</v>
      </c>
    </row>
    <row r="328" spans="1:8" x14ac:dyDescent="0.25">
      <c r="A328" s="189">
        <v>32</v>
      </c>
      <c r="B328" s="190"/>
      <c r="C328" s="191"/>
      <c r="D328" s="61" t="s">
        <v>25</v>
      </c>
      <c r="E328" s="60">
        <f t="shared" si="57"/>
        <v>530.89</v>
      </c>
      <c r="F328" s="60">
        <f t="shared" si="57"/>
        <v>530.89</v>
      </c>
      <c r="G328" s="60">
        <f t="shared" si="57"/>
        <v>0</v>
      </c>
      <c r="H328" s="60">
        <f t="shared" si="56"/>
        <v>0</v>
      </c>
    </row>
    <row r="329" spans="1:8" x14ac:dyDescent="0.25">
      <c r="A329" s="195" t="s">
        <v>184</v>
      </c>
      <c r="B329" s="196"/>
      <c r="C329" s="197"/>
      <c r="D329" s="78" t="s">
        <v>71</v>
      </c>
      <c r="E329" s="79">
        <f t="shared" si="57"/>
        <v>530.89</v>
      </c>
      <c r="F329" s="79">
        <f t="shared" si="57"/>
        <v>530.89</v>
      </c>
      <c r="G329" s="79">
        <f t="shared" si="57"/>
        <v>0</v>
      </c>
      <c r="H329" s="79">
        <f t="shared" si="56"/>
        <v>0</v>
      </c>
    </row>
    <row r="330" spans="1:8" x14ac:dyDescent="0.25">
      <c r="A330" s="192">
        <v>3299</v>
      </c>
      <c r="B330" s="193">
        <v>3299</v>
      </c>
      <c r="C330" s="194">
        <v>3299</v>
      </c>
      <c r="D330" s="29" t="s">
        <v>61</v>
      </c>
      <c r="E330" s="35">
        <f>4000/E2</f>
        <v>530.89</v>
      </c>
      <c r="F330" s="35">
        <v>530.89</v>
      </c>
      <c r="G330" s="35">
        <v>0</v>
      </c>
      <c r="H330" s="36"/>
    </row>
    <row r="331" spans="1:8" ht="27.75" customHeight="1" x14ac:dyDescent="0.25">
      <c r="A331" s="198" t="s">
        <v>63</v>
      </c>
      <c r="B331" s="199"/>
      <c r="C331" s="200"/>
      <c r="D331" s="38" t="s">
        <v>138</v>
      </c>
      <c r="E331" s="41">
        <f t="shared" ref="E331:G332" si="58">E332</f>
        <v>1075737.96</v>
      </c>
      <c r="F331" s="41">
        <f t="shared" si="58"/>
        <v>1114864.29</v>
      </c>
      <c r="G331" s="41">
        <f t="shared" si="58"/>
        <v>1192230.8600000001</v>
      </c>
      <c r="H331" s="41">
        <f t="shared" si="56"/>
        <v>106.94</v>
      </c>
    </row>
    <row r="332" spans="1:8" ht="15" customHeight="1" x14ac:dyDescent="0.25">
      <c r="A332" s="183" t="s">
        <v>135</v>
      </c>
      <c r="B332" s="184"/>
      <c r="C332" s="185"/>
      <c r="D332" s="42" t="s">
        <v>136</v>
      </c>
      <c r="E332" s="42">
        <f t="shared" si="58"/>
        <v>1075737.96</v>
      </c>
      <c r="F332" s="42">
        <f t="shared" si="58"/>
        <v>1114864.29</v>
      </c>
      <c r="G332" s="42">
        <f t="shared" si="58"/>
        <v>1192230.8600000001</v>
      </c>
      <c r="H332" s="42">
        <f t="shared" si="56"/>
        <v>106.94</v>
      </c>
    </row>
    <row r="333" spans="1:8" x14ac:dyDescent="0.25">
      <c r="A333" s="186">
        <v>3</v>
      </c>
      <c r="B333" s="187"/>
      <c r="C333" s="188"/>
      <c r="D333" s="39" t="s">
        <v>17</v>
      </c>
      <c r="E333" s="40">
        <f>E334+E342+E350</f>
        <v>1075737.96</v>
      </c>
      <c r="F333" s="40">
        <f>F334+F342+F350</f>
        <v>1114864.29</v>
      </c>
      <c r="G333" s="40">
        <f>G334+G342+G350</f>
        <v>1192230.8600000001</v>
      </c>
      <c r="H333" s="40">
        <f t="shared" si="56"/>
        <v>106.94</v>
      </c>
    </row>
    <row r="334" spans="1:8" x14ac:dyDescent="0.25">
      <c r="A334" s="189">
        <v>31</v>
      </c>
      <c r="B334" s="190"/>
      <c r="C334" s="191"/>
      <c r="D334" s="61" t="s">
        <v>18</v>
      </c>
      <c r="E334" s="60">
        <f>E335+E337+E339</f>
        <v>1031839.15</v>
      </c>
      <c r="F334" s="60">
        <f>F335+F337+F339</f>
        <v>1066934.77</v>
      </c>
      <c r="G334" s="60">
        <f>G335+G337+G339</f>
        <v>1149250.92</v>
      </c>
      <c r="H334" s="60">
        <f t="shared" si="56"/>
        <v>107.72</v>
      </c>
    </row>
    <row r="335" spans="1:8" x14ac:dyDescent="0.25">
      <c r="A335" s="195" t="s">
        <v>179</v>
      </c>
      <c r="B335" s="196"/>
      <c r="C335" s="197"/>
      <c r="D335" s="78" t="s">
        <v>244</v>
      </c>
      <c r="E335" s="79">
        <f>E336</f>
        <v>851121.84</v>
      </c>
      <c r="F335" s="79">
        <f>F336</f>
        <v>888210.24</v>
      </c>
      <c r="G335" s="79">
        <f>G336</f>
        <v>951174.05</v>
      </c>
      <c r="H335" s="79">
        <f t="shared" si="56"/>
        <v>107.09</v>
      </c>
    </row>
    <row r="336" spans="1:8" x14ac:dyDescent="0.25">
      <c r="A336" s="192" t="s">
        <v>153</v>
      </c>
      <c r="B336" s="193"/>
      <c r="C336" s="194"/>
      <c r="D336" s="32" t="s">
        <v>74</v>
      </c>
      <c r="E336" s="35">
        <f>6412777.49/E2</f>
        <v>851121.84</v>
      </c>
      <c r="F336" s="35">
        <v>888210.24</v>
      </c>
      <c r="G336" s="35">
        <v>951174.05</v>
      </c>
      <c r="H336" s="36"/>
    </row>
    <row r="337" spans="1:8" x14ac:dyDescent="0.25">
      <c r="A337" s="195" t="s">
        <v>180</v>
      </c>
      <c r="B337" s="196"/>
      <c r="C337" s="197"/>
      <c r="D337" s="78" t="s">
        <v>75</v>
      </c>
      <c r="E337" s="79">
        <f>E338</f>
        <v>39288.43</v>
      </c>
      <c r="F337" s="79">
        <f>F338</f>
        <v>35198.089999999997</v>
      </c>
      <c r="G337" s="79">
        <f>G338</f>
        <v>40692.04</v>
      </c>
      <c r="H337" s="79">
        <f t="shared" si="56"/>
        <v>115.61</v>
      </c>
    </row>
    <row r="338" spans="1:8" x14ac:dyDescent="0.25">
      <c r="A338" s="192" t="s">
        <v>154</v>
      </c>
      <c r="B338" s="193"/>
      <c r="C338" s="194"/>
      <c r="D338" s="32" t="s">
        <v>75</v>
      </c>
      <c r="E338" s="35">
        <f>296018.66/E2</f>
        <v>39288.43</v>
      </c>
      <c r="F338" s="35">
        <v>35198.089999999997</v>
      </c>
      <c r="G338" s="35">
        <v>40692.04</v>
      </c>
      <c r="H338" s="36"/>
    </row>
    <row r="339" spans="1:8" x14ac:dyDescent="0.25">
      <c r="A339" s="195" t="s">
        <v>181</v>
      </c>
      <c r="B339" s="196"/>
      <c r="C339" s="197"/>
      <c r="D339" s="78" t="s">
        <v>76</v>
      </c>
      <c r="E339" s="79">
        <f>E340+E341</f>
        <v>141428.88</v>
      </c>
      <c r="F339" s="79">
        <f>F340+F341</f>
        <v>143526.44</v>
      </c>
      <c r="G339" s="79">
        <f>G340+G341</f>
        <v>157384.82999999999</v>
      </c>
      <c r="H339" s="79">
        <f t="shared" si="56"/>
        <v>109.66</v>
      </c>
    </row>
    <row r="340" spans="1:8" s="83" customFormat="1" x14ac:dyDescent="0.25">
      <c r="A340" s="192" t="s">
        <v>155</v>
      </c>
      <c r="B340" s="193"/>
      <c r="C340" s="194"/>
      <c r="D340" s="32" t="s">
        <v>77</v>
      </c>
      <c r="E340" s="35">
        <f>1064366.94/E2</f>
        <v>141265.76999999999</v>
      </c>
      <c r="F340" s="35">
        <v>143499.9</v>
      </c>
      <c r="G340" s="35">
        <v>157370.1</v>
      </c>
      <c r="H340" s="36"/>
    </row>
    <row r="341" spans="1:8" ht="26.25" x14ac:dyDescent="0.25">
      <c r="A341" s="204" t="s">
        <v>169</v>
      </c>
      <c r="B341" s="205"/>
      <c r="C341" s="206"/>
      <c r="D341" s="80" t="s">
        <v>99</v>
      </c>
      <c r="E341" s="81">
        <f>1228.92/E2</f>
        <v>163.11000000000001</v>
      </c>
      <c r="F341" s="81">
        <v>26.54</v>
      </c>
      <c r="G341" s="81">
        <v>14.73</v>
      </c>
      <c r="H341" s="82"/>
    </row>
    <row r="342" spans="1:8" x14ac:dyDescent="0.25">
      <c r="A342" s="189">
        <v>32</v>
      </c>
      <c r="B342" s="190"/>
      <c r="C342" s="191"/>
      <c r="D342" s="61" t="s">
        <v>25</v>
      </c>
      <c r="E342" s="60">
        <f>E343+E345+E347</f>
        <v>40368.79</v>
      </c>
      <c r="F342" s="60">
        <f>F343+F345+F347</f>
        <v>47796.800000000003</v>
      </c>
      <c r="G342" s="60">
        <f>G343+G345+G347</f>
        <v>42623.1</v>
      </c>
      <c r="H342" s="60">
        <f t="shared" si="56"/>
        <v>89.18</v>
      </c>
    </row>
    <row r="343" spans="1:8" x14ac:dyDescent="0.25">
      <c r="A343" s="195" t="s">
        <v>183</v>
      </c>
      <c r="B343" s="196"/>
      <c r="C343" s="197"/>
      <c r="D343" s="78" t="s">
        <v>78</v>
      </c>
      <c r="E343" s="79">
        <f>E344</f>
        <v>32184.67</v>
      </c>
      <c r="F343" s="79">
        <f>F344</f>
        <v>44170.15</v>
      </c>
      <c r="G343" s="79">
        <f>G344</f>
        <v>38584.17</v>
      </c>
      <c r="H343" s="79">
        <f t="shared" si="56"/>
        <v>87.35</v>
      </c>
    </row>
    <row r="344" spans="1:8" x14ac:dyDescent="0.25">
      <c r="A344" s="192" t="s">
        <v>157</v>
      </c>
      <c r="B344" s="193"/>
      <c r="C344" s="194"/>
      <c r="D344" s="32" t="s">
        <v>79</v>
      </c>
      <c r="E344" s="35">
        <f>242495.4/E2</f>
        <v>32184.67</v>
      </c>
      <c r="F344" s="35">
        <v>44170.15</v>
      </c>
      <c r="G344" s="35">
        <v>38584.17</v>
      </c>
      <c r="H344" s="36"/>
    </row>
    <row r="345" spans="1:8" x14ac:dyDescent="0.25">
      <c r="A345" s="195" t="s">
        <v>193</v>
      </c>
      <c r="B345" s="196"/>
      <c r="C345" s="197"/>
      <c r="D345" s="78" t="s">
        <v>66</v>
      </c>
      <c r="E345" s="79">
        <f>E346</f>
        <v>537.53</v>
      </c>
      <c r="F345" s="79">
        <f>F346</f>
        <v>132.72</v>
      </c>
      <c r="G345" s="79">
        <f>G346</f>
        <v>0</v>
      </c>
      <c r="H345" s="79">
        <f t="shared" si="56"/>
        <v>0</v>
      </c>
    </row>
    <row r="346" spans="1:8" x14ac:dyDescent="0.25">
      <c r="A346" s="192" t="s">
        <v>168</v>
      </c>
      <c r="B346" s="193"/>
      <c r="C346" s="194"/>
      <c r="D346" s="34" t="s">
        <v>167</v>
      </c>
      <c r="E346" s="35">
        <f>4050/E2</f>
        <v>537.53</v>
      </c>
      <c r="F346" s="35">
        <v>132.72</v>
      </c>
      <c r="G346" s="35">
        <v>0</v>
      </c>
      <c r="H346" s="36">
        <f t="shared" si="56"/>
        <v>0</v>
      </c>
    </row>
    <row r="347" spans="1:8" x14ac:dyDescent="0.25">
      <c r="A347" s="195" t="s">
        <v>184</v>
      </c>
      <c r="B347" s="196"/>
      <c r="C347" s="197"/>
      <c r="D347" s="78" t="s">
        <v>71</v>
      </c>
      <c r="E347" s="79">
        <f>E348+E349</f>
        <v>7646.59</v>
      </c>
      <c r="F347" s="79">
        <f>F348+F349</f>
        <v>3493.93</v>
      </c>
      <c r="G347" s="79">
        <f>G348+G349</f>
        <v>4038.93</v>
      </c>
      <c r="H347" s="79">
        <f t="shared" si="56"/>
        <v>115.6</v>
      </c>
    </row>
    <row r="348" spans="1:8" x14ac:dyDescent="0.25">
      <c r="A348" s="192" t="s">
        <v>170</v>
      </c>
      <c r="B348" s="193"/>
      <c r="C348" s="194"/>
      <c r="D348" s="32" t="s">
        <v>100</v>
      </c>
      <c r="E348" s="35">
        <f>20450/E2</f>
        <v>2714.18</v>
      </c>
      <c r="F348" s="35">
        <v>2963.04</v>
      </c>
      <c r="G348" s="35">
        <v>3577.71</v>
      </c>
      <c r="H348" s="36"/>
    </row>
    <row r="349" spans="1:8" x14ac:dyDescent="0.25">
      <c r="A349" s="62" t="s">
        <v>171</v>
      </c>
      <c r="B349" s="63"/>
      <c r="C349" s="64"/>
      <c r="D349" s="32" t="s">
        <v>101</v>
      </c>
      <c r="E349" s="35">
        <f>37163.22/E2</f>
        <v>4932.41</v>
      </c>
      <c r="F349" s="35">
        <v>530.89</v>
      </c>
      <c r="G349" s="35">
        <v>461.22</v>
      </c>
      <c r="H349" s="36"/>
    </row>
    <row r="350" spans="1:8" x14ac:dyDescent="0.25">
      <c r="A350" s="189">
        <v>34</v>
      </c>
      <c r="B350" s="190"/>
      <c r="C350" s="191"/>
      <c r="D350" s="61" t="s">
        <v>88</v>
      </c>
      <c r="E350" s="60">
        <f t="shared" ref="E350:G351" si="59">E351</f>
        <v>3530.02</v>
      </c>
      <c r="F350" s="60">
        <f t="shared" si="59"/>
        <v>132.72</v>
      </c>
      <c r="G350" s="60">
        <f t="shared" si="59"/>
        <v>356.84</v>
      </c>
      <c r="H350" s="60">
        <f t="shared" si="56"/>
        <v>268.87</v>
      </c>
    </row>
    <row r="351" spans="1:8" x14ac:dyDescent="0.25">
      <c r="A351" s="195" t="s">
        <v>199</v>
      </c>
      <c r="B351" s="196"/>
      <c r="C351" s="197"/>
      <c r="D351" s="78" t="s">
        <v>102</v>
      </c>
      <c r="E351" s="79">
        <f t="shared" si="59"/>
        <v>3530.02</v>
      </c>
      <c r="F351" s="79">
        <f t="shared" si="59"/>
        <v>132.72</v>
      </c>
      <c r="G351" s="79">
        <f t="shared" si="59"/>
        <v>356.84</v>
      </c>
      <c r="H351" s="79">
        <f t="shared" si="56"/>
        <v>268.87</v>
      </c>
    </row>
    <row r="352" spans="1:8" x14ac:dyDescent="0.25">
      <c r="A352" s="66" t="s">
        <v>161</v>
      </c>
      <c r="B352" s="67"/>
      <c r="C352" s="68"/>
      <c r="D352" s="32" t="s">
        <v>90</v>
      </c>
      <c r="E352" s="35">
        <f>26596.96/E2</f>
        <v>3530.02</v>
      </c>
      <c r="F352" s="35">
        <v>132.72</v>
      </c>
      <c r="G352" s="35">
        <v>356.84</v>
      </c>
      <c r="H352" s="36">
        <f t="shared" si="56"/>
        <v>268.87</v>
      </c>
    </row>
    <row r="353" spans="1:8" ht="21" customHeight="1" x14ac:dyDescent="0.25">
      <c r="A353" s="198" t="s">
        <v>69</v>
      </c>
      <c r="B353" s="199"/>
      <c r="C353" s="200"/>
      <c r="D353" s="38" t="s">
        <v>139</v>
      </c>
      <c r="E353" s="41">
        <f>E354+E363+E371+E386</f>
        <v>53956.08</v>
      </c>
      <c r="F353" s="41">
        <f>F354+F363+F371+F386</f>
        <v>64461.08</v>
      </c>
      <c r="G353" s="41">
        <f>G354+G363+G371+G386</f>
        <v>103748.14</v>
      </c>
      <c r="H353" s="41">
        <f t="shared" si="56"/>
        <v>160.94999999999999</v>
      </c>
    </row>
    <row r="354" spans="1:8" ht="15" customHeight="1" x14ac:dyDescent="0.25">
      <c r="A354" s="183" t="s">
        <v>131</v>
      </c>
      <c r="B354" s="184"/>
      <c r="C354" s="185"/>
      <c r="D354" s="42" t="s">
        <v>132</v>
      </c>
      <c r="E354" s="42">
        <f>E355+E359</f>
        <v>0</v>
      </c>
      <c r="F354" s="42">
        <f>F355+F359</f>
        <v>2654.46</v>
      </c>
      <c r="G354" s="42">
        <f>G355+G359</f>
        <v>0</v>
      </c>
      <c r="H354" s="42">
        <f t="shared" si="56"/>
        <v>0</v>
      </c>
    </row>
    <row r="355" spans="1:8" x14ac:dyDescent="0.25">
      <c r="A355" s="186">
        <v>3</v>
      </c>
      <c r="B355" s="187"/>
      <c r="C355" s="188"/>
      <c r="D355" s="39" t="s">
        <v>17</v>
      </c>
      <c r="E355" s="40">
        <f t="shared" ref="E355:G357" si="60">E356</f>
        <v>0</v>
      </c>
      <c r="F355" s="40">
        <f t="shared" si="60"/>
        <v>1327.23</v>
      </c>
      <c r="G355" s="40">
        <f t="shared" si="60"/>
        <v>0</v>
      </c>
      <c r="H355" s="40">
        <f t="shared" si="56"/>
        <v>0</v>
      </c>
    </row>
    <row r="356" spans="1:8" x14ac:dyDescent="0.25">
      <c r="A356" s="189">
        <v>32</v>
      </c>
      <c r="B356" s="190"/>
      <c r="C356" s="191"/>
      <c r="D356" s="61" t="s">
        <v>25</v>
      </c>
      <c r="E356" s="60">
        <f t="shared" si="60"/>
        <v>0</v>
      </c>
      <c r="F356" s="60">
        <f t="shared" si="60"/>
        <v>1327.23</v>
      </c>
      <c r="G356" s="60">
        <f t="shared" si="60"/>
        <v>0</v>
      </c>
      <c r="H356" s="60">
        <f t="shared" si="56"/>
        <v>0</v>
      </c>
    </row>
    <row r="357" spans="1:8" x14ac:dyDescent="0.25">
      <c r="A357" s="195" t="s">
        <v>193</v>
      </c>
      <c r="B357" s="196"/>
      <c r="C357" s="197"/>
      <c r="D357" s="78" t="s">
        <v>66</v>
      </c>
      <c r="E357" s="79">
        <f t="shared" si="60"/>
        <v>0</v>
      </c>
      <c r="F357" s="79">
        <f t="shared" si="60"/>
        <v>1327.23</v>
      </c>
      <c r="G357" s="79">
        <f t="shared" si="60"/>
        <v>0</v>
      </c>
      <c r="H357" s="79">
        <f t="shared" si="56"/>
        <v>0</v>
      </c>
    </row>
    <row r="358" spans="1:8" ht="15.75" customHeight="1" x14ac:dyDescent="0.25">
      <c r="A358" s="192" t="s">
        <v>160</v>
      </c>
      <c r="B358" s="193"/>
      <c r="C358" s="194"/>
      <c r="D358" s="32" t="s">
        <v>67</v>
      </c>
      <c r="E358" s="35"/>
      <c r="F358" s="35">
        <v>1327.23</v>
      </c>
      <c r="G358" s="35"/>
      <c r="H358" s="36"/>
    </row>
    <row r="359" spans="1:8" ht="25.5" x14ac:dyDescent="0.25">
      <c r="A359" s="186">
        <v>4</v>
      </c>
      <c r="B359" s="187"/>
      <c r="C359" s="188"/>
      <c r="D359" s="39" t="s">
        <v>19</v>
      </c>
      <c r="E359" s="40">
        <f t="shared" ref="E359:F361" si="61">E360</f>
        <v>0</v>
      </c>
      <c r="F359" s="40">
        <f t="shared" si="61"/>
        <v>1327.23</v>
      </c>
      <c r="G359" s="40">
        <v>0</v>
      </c>
      <c r="H359" s="40">
        <f t="shared" si="56"/>
        <v>0</v>
      </c>
    </row>
    <row r="360" spans="1:8" ht="25.5" x14ac:dyDescent="0.25">
      <c r="A360" s="189">
        <v>42</v>
      </c>
      <c r="B360" s="190"/>
      <c r="C360" s="191"/>
      <c r="D360" s="61" t="s">
        <v>93</v>
      </c>
      <c r="E360" s="60">
        <f t="shared" si="61"/>
        <v>0</v>
      </c>
      <c r="F360" s="60">
        <f t="shared" si="61"/>
        <v>1327.23</v>
      </c>
      <c r="G360" s="60">
        <f>G361</f>
        <v>0</v>
      </c>
      <c r="H360" s="60">
        <f t="shared" si="56"/>
        <v>0</v>
      </c>
    </row>
    <row r="361" spans="1:8" x14ac:dyDescent="0.25">
      <c r="A361" s="195" t="s">
        <v>218</v>
      </c>
      <c r="B361" s="196"/>
      <c r="C361" s="197"/>
      <c r="D361" s="78" t="s">
        <v>94</v>
      </c>
      <c r="E361" s="79">
        <f t="shared" si="61"/>
        <v>0</v>
      </c>
      <c r="F361" s="79">
        <f t="shared" si="61"/>
        <v>1327.23</v>
      </c>
      <c r="G361" s="79">
        <f>G362</f>
        <v>0</v>
      </c>
      <c r="H361" s="79">
        <f t="shared" si="56"/>
        <v>0</v>
      </c>
    </row>
    <row r="362" spans="1:8" ht="26.25" x14ac:dyDescent="0.25">
      <c r="A362" s="62" t="s">
        <v>164</v>
      </c>
      <c r="B362" s="63"/>
      <c r="C362" s="64"/>
      <c r="D362" s="32" t="s">
        <v>104</v>
      </c>
      <c r="E362" s="35"/>
      <c r="F362" s="35">
        <v>1327.23</v>
      </c>
      <c r="G362" s="35"/>
      <c r="H362" s="36"/>
    </row>
    <row r="363" spans="1:8" ht="15" customHeight="1" x14ac:dyDescent="0.25">
      <c r="A363" s="183" t="s">
        <v>133</v>
      </c>
      <c r="B363" s="184"/>
      <c r="C363" s="185"/>
      <c r="D363" s="42" t="s">
        <v>134</v>
      </c>
      <c r="E363" s="42">
        <f t="shared" ref="E363:G364" si="62">E364</f>
        <v>29532.14</v>
      </c>
      <c r="F363" s="42">
        <f t="shared" si="62"/>
        <v>28601.77</v>
      </c>
      <c r="G363" s="42">
        <f t="shared" si="62"/>
        <v>2516.19</v>
      </c>
      <c r="H363" s="42">
        <f t="shared" si="56"/>
        <v>8.8000000000000007</v>
      </c>
    </row>
    <row r="364" spans="1:8" x14ac:dyDescent="0.25">
      <c r="A364" s="186">
        <v>3</v>
      </c>
      <c r="B364" s="187"/>
      <c r="C364" s="188"/>
      <c r="D364" s="39" t="s">
        <v>17</v>
      </c>
      <c r="E364" s="40">
        <f t="shared" si="62"/>
        <v>29532.14</v>
      </c>
      <c r="F364" s="40">
        <f t="shared" si="62"/>
        <v>28601.77</v>
      </c>
      <c r="G364" s="40">
        <f t="shared" si="62"/>
        <v>2516.19</v>
      </c>
      <c r="H364" s="40">
        <f t="shared" si="56"/>
        <v>8.8000000000000007</v>
      </c>
    </row>
    <row r="365" spans="1:8" x14ac:dyDescent="0.25">
      <c r="A365" s="189">
        <v>32</v>
      </c>
      <c r="B365" s="190"/>
      <c r="C365" s="191"/>
      <c r="D365" s="61" t="s">
        <v>25</v>
      </c>
      <c r="E365" s="60">
        <f>E366+E369</f>
        <v>29532.14</v>
      </c>
      <c r="F365" s="60">
        <f>F366+F369</f>
        <v>28601.77</v>
      </c>
      <c r="G365" s="60">
        <f>G366+G369</f>
        <v>2516.19</v>
      </c>
      <c r="H365" s="60">
        <f t="shared" si="56"/>
        <v>8.8000000000000007</v>
      </c>
    </row>
    <row r="366" spans="1:8" x14ac:dyDescent="0.25">
      <c r="A366" s="195" t="s">
        <v>189</v>
      </c>
      <c r="B366" s="196"/>
      <c r="C366" s="197"/>
      <c r="D366" s="78" t="s">
        <v>64</v>
      </c>
      <c r="E366" s="79">
        <f>SUM(E367:E368)</f>
        <v>29532.14</v>
      </c>
      <c r="F366" s="79">
        <f>SUM(F367:F368)</f>
        <v>28601.77</v>
      </c>
      <c r="G366" s="79">
        <f>SUM(G367:G368)</f>
        <v>2516.19</v>
      </c>
      <c r="H366" s="79">
        <f t="shared" si="56"/>
        <v>8.8000000000000007</v>
      </c>
    </row>
    <row r="367" spans="1:8" x14ac:dyDescent="0.25">
      <c r="A367" s="192" t="s">
        <v>172</v>
      </c>
      <c r="B367" s="193"/>
      <c r="C367" s="194"/>
      <c r="D367" s="32" t="s">
        <v>46</v>
      </c>
      <c r="E367" s="35">
        <f>3656.85/E2</f>
        <v>485.35</v>
      </c>
      <c r="F367" s="35">
        <v>530.9</v>
      </c>
      <c r="G367" s="35">
        <v>0</v>
      </c>
      <c r="H367" s="36"/>
    </row>
    <row r="368" spans="1:8" x14ac:dyDescent="0.25">
      <c r="A368" s="62" t="s">
        <v>173</v>
      </c>
      <c r="B368" s="63"/>
      <c r="C368" s="64"/>
      <c r="D368" s="32" t="s">
        <v>103</v>
      </c>
      <c r="E368" s="35">
        <f>218853.05/E2</f>
        <v>29046.79</v>
      </c>
      <c r="F368" s="35">
        <v>28070.87</v>
      </c>
      <c r="G368" s="35">
        <v>2516.19</v>
      </c>
      <c r="H368" s="36"/>
    </row>
    <row r="369" spans="1:8" x14ac:dyDescent="0.25">
      <c r="A369" s="195" t="s">
        <v>184</v>
      </c>
      <c r="B369" s="196"/>
      <c r="C369" s="197"/>
      <c r="D369" s="78" t="s">
        <v>61</v>
      </c>
      <c r="E369" s="79">
        <f>E370</f>
        <v>0</v>
      </c>
      <c r="F369" s="79">
        <f>F370</f>
        <v>0</v>
      </c>
      <c r="G369" s="79">
        <f>G370</f>
        <v>0</v>
      </c>
      <c r="H369" s="79"/>
    </row>
    <row r="370" spans="1:8" x14ac:dyDescent="0.25">
      <c r="A370" s="192" t="s">
        <v>166</v>
      </c>
      <c r="B370" s="193"/>
      <c r="C370" s="194"/>
      <c r="D370" s="32" t="s">
        <v>229</v>
      </c>
      <c r="E370" s="35"/>
      <c r="F370" s="35"/>
      <c r="G370" s="35"/>
      <c r="H370" s="36"/>
    </row>
    <row r="371" spans="1:8" ht="15" customHeight="1" x14ac:dyDescent="0.25">
      <c r="A371" s="183" t="s">
        <v>135</v>
      </c>
      <c r="B371" s="184"/>
      <c r="C371" s="185"/>
      <c r="D371" s="42" t="s">
        <v>136</v>
      </c>
      <c r="E371" s="42">
        <f>E372+E382</f>
        <v>24423.94</v>
      </c>
      <c r="F371" s="42">
        <f>F372+F382</f>
        <v>32342.16</v>
      </c>
      <c r="G371" s="42">
        <f>G372+G382</f>
        <v>101231.95</v>
      </c>
      <c r="H371" s="42">
        <f t="shared" si="56"/>
        <v>313</v>
      </c>
    </row>
    <row r="372" spans="1:8" x14ac:dyDescent="0.25">
      <c r="A372" s="186">
        <v>3</v>
      </c>
      <c r="B372" s="187"/>
      <c r="C372" s="188"/>
      <c r="D372" s="39" t="s">
        <v>17</v>
      </c>
      <c r="E372" s="40">
        <f>E373</f>
        <v>22730.92</v>
      </c>
      <c r="F372" s="40">
        <f>F373</f>
        <v>31014.93</v>
      </c>
      <c r="G372" s="40">
        <f>G373</f>
        <v>101231.95</v>
      </c>
      <c r="H372" s="40">
        <f t="shared" si="56"/>
        <v>326.39999999999998</v>
      </c>
    </row>
    <row r="373" spans="1:8" x14ac:dyDescent="0.25">
      <c r="A373" s="189">
        <v>32</v>
      </c>
      <c r="B373" s="190"/>
      <c r="C373" s="191"/>
      <c r="D373" s="61" t="s">
        <v>25</v>
      </c>
      <c r="E373" s="60">
        <f>E374+E379</f>
        <v>22730.92</v>
      </c>
      <c r="F373" s="60">
        <f>F374+F379</f>
        <v>31014.93</v>
      </c>
      <c r="G373" s="60">
        <f>G374+G379</f>
        <v>101231.95</v>
      </c>
      <c r="H373" s="60">
        <f t="shared" si="56"/>
        <v>326.39999999999998</v>
      </c>
    </row>
    <row r="374" spans="1:8" x14ac:dyDescent="0.25">
      <c r="A374" s="195" t="s">
        <v>189</v>
      </c>
      <c r="B374" s="196"/>
      <c r="C374" s="197"/>
      <c r="D374" s="78" t="s">
        <v>64</v>
      </c>
      <c r="E374" s="79">
        <f>SUM(E375:E378)</f>
        <v>22730.92</v>
      </c>
      <c r="F374" s="79">
        <f>SUM(F375:F378)</f>
        <v>29554.98</v>
      </c>
      <c r="G374" s="79">
        <f>SUM(G375:G378)</f>
        <v>101231.95</v>
      </c>
      <c r="H374" s="79">
        <f t="shared" si="56"/>
        <v>342.52</v>
      </c>
    </row>
    <row r="375" spans="1:8" x14ac:dyDescent="0.25">
      <c r="A375" s="192" t="s">
        <v>172</v>
      </c>
      <c r="B375" s="193"/>
      <c r="C375" s="194"/>
      <c r="D375" s="32" t="s">
        <v>46</v>
      </c>
      <c r="E375" s="35">
        <f>3273.22/E2</f>
        <v>434.43</v>
      </c>
      <c r="F375" s="35">
        <v>398.17</v>
      </c>
      <c r="G375" s="35">
        <v>0</v>
      </c>
      <c r="H375" s="36"/>
    </row>
    <row r="376" spans="1:8" x14ac:dyDescent="0.25">
      <c r="A376" s="62" t="s">
        <v>173</v>
      </c>
      <c r="B376" s="63"/>
      <c r="C376" s="64"/>
      <c r="D376" s="32" t="s">
        <v>103</v>
      </c>
      <c r="E376" s="35">
        <f>167699.64/E2</f>
        <v>22257.57</v>
      </c>
      <c r="F376" s="35">
        <v>28891.37</v>
      </c>
      <c r="G376" s="35">
        <v>101231.95</v>
      </c>
      <c r="H376" s="36"/>
    </row>
    <row r="377" spans="1:8" x14ac:dyDescent="0.25">
      <c r="A377" s="192" t="s">
        <v>159</v>
      </c>
      <c r="B377" s="193"/>
      <c r="C377" s="194"/>
      <c r="D377" s="32" t="s">
        <v>65</v>
      </c>
      <c r="E377" s="35"/>
      <c r="F377" s="35">
        <v>132.72</v>
      </c>
      <c r="G377" s="35">
        <v>0</v>
      </c>
      <c r="H377" s="36"/>
    </row>
    <row r="378" spans="1:8" x14ac:dyDescent="0.25">
      <c r="A378" s="192" t="s">
        <v>174</v>
      </c>
      <c r="B378" s="193"/>
      <c r="C378" s="194"/>
      <c r="D378" s="32" t="s">
        <v>48</v>
      </c>
      <c r="E378" s="35">
        <f>293.21/E2</f>
        <v>38.92</v>
      </c>
      <c r="F378" s="35">
        <v>132.72</v>
      </c>
      <c r="G378" s="35">
        <v>0</v>
      </c>
      <c r="H378" s="36"/>
    </row>
    <row r="379" spans="1:8" x14ac:dyDescent="0.25">
      <c r="A379" s="195" t="s">
        <v>193</v>
      </c>
      <c r="B379" s="196"/>
      <c r="C379" s="197"/>
      <c r="D379" s="78" t="s">
        <v>66</v>
      </c>
      <c r="E379" s="79">
        <f>SUM(E380:E381)</f>
        <v>0</v>
      </c>
      <c r="F379" s="79">
        <f>SUM(F380:F381)</f>
        <v>1459.95</v>
      </c>
      <c r="G379" s="79">
        <f>SUM(G380:G381)</f>
        <v>0</v>
      </c>
      <c r="H379" s="79">
        <f t="shared" si="56"/>
        <v>0</v>
      </c>
    </row>
    <row r="380" spans="1:8" x14ac:dyDescent="0.25">
      <c r="A380" s="192" t="s">
        <v>160</v>
      </c>
      <c r="B380" s="193"/>
      <c r="C380" s="194"/>
      <c r="D380" s="32" t="s">
        <v>67</v>
      </c>
      <c r="E380" s="35"/>
      <c r="F380" s="35">
        <v>1327.23</v>
      </c>
      <c r="G380" s="35">
        <v>0</v>
      </c>
      <c r="H380" s="36"/>
    </row>
    <row r="381" spans="1:8" x14ac:dyDescent="0.25">
      <c r="A381" s="192" t="s">
        <v>168</v>
      </c>
      <c r="B381" s="193"/>
      <c r="C381" s="194"/>
      <c r="D381" s="34" t="s">
        <v>176</v>
      </c>
      <c r="E381" s="35"/>
      <c r="F381" s="35">
        <v>132.72</v>
      </c>
      <c r="G381" s="35">
        <v>0</v>
      </c>
      <c r="H381" s="36"/>
    </row>
    <row r="382" spans="1:8" ht="25.5" x14ac:dyDescent="0.25">
      <c r="A382" s="186">
        <v>4</v>
      </c>
      <c r="B382" s="187"/>
      <c r="C382" s="188"/>
      <c r="D382" s="39" t="s">
        <v>19</v>
      </c>
      <c r="E382" s="40">
        <f t="shared" ref="E382:G384" si="63">E383</f>
        <v>1693.02</v>
      </c>
      <c r="F382" s="40">
        <f t="shared" si="63"/>
        <v>1327.23</v>
      </c>
      <c r="G382" s="40">
        <f t="shared" si="63"/>
        <v>0</v>
      </c>
      <c r="H382" s="40">
        <f t="shared" si="56"/>
        <v>0</v>
      </c>
    </row>
    <row r="383" spans="1:8" ht="25.5" x14ac:dyDescent="0.25">
      <c r="A383" s="189">
        <v>42</v>
      </c>
      <c r="B383" s="190"/>
      <c r="C383" s="191"/>
      <c r="D383" s="61" t="s">
        <v>93</v>
      </c>
      <c r="E383" s="60">
        <f t="shared" si="63"/>
        <v>1693.02</v>
      </c>
      <c r="F383" s="60">
        <f t="shared" si="63"/>
        <v>1327.23</v>
      </c>
      <c r="G383" s="60">
        <f t="shared" si="63"/>
        <v>0</v>
      </c>
      <c r="H383" s="60">
        <f t="shared" si="56"/>
        <v>0</v>
      </c>
    </row>
    <row r="384" spans="1:8" x14ac:dyDescent="0.25">
      <c r="A384" s="195" t="s">
        <v>218</v>
      </c>
      <c r="B384" s="196"/>
      <c r="C384" s="197"/>
      <c r="D384" s="78" t="s">
        <v>94</v>
      </c>
      <c r="E384" s="79">
        <f t="shared" si="63"/>
        <v>1693.02</v>
      </c>
      <c r="F384" s="79">
        <f t="shared" si="63"/>
        <v>1327.23</v>
      </c>
      <c r="G384" s="79">
        <f t="shared" si="63"/>
        <v>0</v>
      </c>
      <c r="H384" s="79">
        <f t="shared" si="56"/>
        <v>0</v>
      </c>
    </row>
    <row r="385" spans="1:13" ht="26.25" x14ac:dyDescent="0.25">
      <c r="A385" s="62" t="s">
        <v>164</v>
      </c>
      <c r="B385" s="63"/>
      <c r="C385" s="64"/>
      <c r="D385" s="32" t="s">
        <v>104</v>
      </c>
      <c r="E385" s="35">
        <f>12756.93/E2-0.12</f>
        <v>1693.02</v>
      </c>
      <c r="F385" s="35">
        <v>1327.23</v>
      </c>
      <c r="G385" s="35">
        <v>0</v>
      </c>
      <c r="H385" s="36">
        <f t="shared" si="56"/>
        <v>0</v>
      </c>
    </row>
    <row r="386" spans="1:13" ht="15" customHeight="1" x14ac:dyDescent="0.25">
      <c r="A386" s="183" t="s">
        <v>175</v>
      </c>
      <c r="B386" s="184"/>
      <c r="C386" s="185"/>
      <c r="D386" s="42" t="s">
        <v>148</v>
      </c>
      <c r="E386" s="42">
        <f t="shared" ref="E386:G387" si="64">E387</f>
        <v>0</v>
      </c>
      <c r="F386" s="42">
        <f t="shared" si="64"/>
        <v>862.69</v>
      </c>
      <c r="G386" s="42">
        <f t="shared" si="64"/>
        <v>0</v>
      </c>
      <c r="H386" s="42">
        <f t="shared" si="56"/>
        <v>0</v>
      </c>
    </row>
    <row r="387" spans="1:13" x14ac:dyDescent="0.25">
      <c r="A387" s="186">
        <v>3</v>
      </c>
      <c r="B387" s="187"/>
      <c r="C387" s="188"/>
      <c r="D387" s="48" t="s">
        <v>17</v>
      </c>
      <c r="E387" s="40">
        <f t="shared" si="64"/>
        <v>0</v>
      </c>
      <c r="F387" s="40">
        <f t="shared" si="64"/>
        <v>862.69</v>
      </c>
      <c r="G387" s="40">
        <f t="shared" si="64"/>
        <v>0</v>
      </c>
      <c r="H387" s="40">
        <f t="shared" ref="H387:H408" si="65">G387/F387*100</f>
        <v>0</v>
      </c>
    </row>
    <row r="388" spans="1:13" x14ac:dyDescent="0.25">
      <c r="A388" s="189">
        <v>32</v>
      </c>
      <c r="B388" s="190"/>
      <c r="C388" s="191"/>
      <c r="D388" s="61" t="s">
        <v>25</v>
      </c>
      <c r="E388" s="60">
        <f>E389+E392</f>
        <v>0</v>
      </c>
      <c r="F388" s="60">
        <f>F389+F392</f>
        <v>862.69</v>
      </c>
      <c r="G388" s="60">
        <f>G389+G392</f>
        <v>0</v>
      </c>
      <c r="H388" s="60">
        <f t="shared" si="65"/>
        <v>0</v>
      </c>
    </row>
    <row r="389" spans="1:13" x14ac:dyDescent="0.25">
      <c r="A389" s="195" t="s">
        <v>189</v>
      </c>
      <c r="B389" s="196"/>
      <c r="C389" s="197"/>
      <c r="D389" s="78" t="s">
        <v>64</v>
      </c>
      <c r="E389" s="79">
        <f>E390+E391</f>
        <v>0</v>
      </c>
      <c r="F389" s="79">
        <f>F390+F391</f>
        <v>729.97</v>
      </c>
      <c r="G389" s="79">
        <f>G390+G391</f>
        <v>0</v>
      </c>
      <c r="H389" s="79">
        <f t="shared" si="65"/>
        <v>0</v>
      </c>
    </row>
    <row r="390" spans="1:13" x14ac:dyDescent="0.25">
      <c r="A390" s="62" t="s">
        <v>173</v>
      </c>
      <c r="B390" s="63"/>
      <c r="C390" s="64"/>
      <c r="D390" s="32" t="s">
        <v>103</v>
      </c>
      <c r="E390" s="35"/>
      <c r="F390" s="35">
        <v>663.61</v>
      </c>
      <c r="G390" s="35"/>
      <c r="H390" s="36"/>
    </row>
    <row r="391" spans="1:13" x14ac:dyDescent="0.25">
      <c r="A391" s="192" t="s">
        <v>174</v>
      </c>
      <c r="B391" s="193"/>
      <c r="C391" s="194"/>
      <c r="D391" s="32" t="s">
        <v>48</v>
      </c>
      <c r="E391" s="35"/>
      <c r="F391" s="35">
        <v>66.36</v>
      </c>
      <c r="G391" s="35"/>
      <c r="H391" s="36"/>
    </row>
    <row r="392" spans="1:13" x14ac:dyDescent="0.25">
      <c r="A392" s="195" t="s">
        <v>193</v>
      </c>
      <c r="B392" s="196"/>
      <c r="C392" s="197"/>
      <c r="D392" s="78" t="s">
        <v>66</v>
      </c>
      <c r="E392" s="79">
        <f>E393</f>
        <v>0</v>
      </c>
      <c r="F392" s="79">
        <f>F393</f>
        <v>132.72</v>
      </c>
      <c r="G392" s="79">
        <f>G393</f>
        <v>0</v>
      </c>
      <c r="H392" s="79">
        <f t="shared" si="65"/>
        <v>0</v>
      </c>
    </row>
    <row r="393" spans="1:13" x14ac:dyDescent="0.25">
      <c r="A393" s="192" t="s">
        <v>160</v>
      </c>
      <c r="B393" s="193"/>
      <c r="C393" s="194"/>
      <c r="D393" s="32" t="s">
        <v>67</v>
      </c>
      <c r="E393" s="35"/>
      <c r="F393" s="35">
        <v>132.72</v>
      </c>
      <c r="G393" s="35"/>
      <c r="H393" s="36"/>
    </row>
    <row r="394" spans="1:13" ht="21" customHeight="1" x14ac:dyDescent="0.25">
      <c r="A394" s="198" t="s">
        <v>105</v>
      </c>
      <c r="B394" s="199"/>
      <c r="C394" s="200"/>
      <c r="D394" s="38" t="s">
        <v>140</v>
      </c>
      <c r="E394" s="41">
        <f>E395+E400</f>
        <v>26198.61</v>
      </c>
      <c r="F394" s="41">
        <f>F395+F400</f>
        <v>26235.040000000001</v>
      </c>
      <c r="G394" s="41">
        <f>G395+G400</f>
        <v>25918.48</v>
      </c>
      <c r="H394" s="41">
        <f t="shared" si="65"/>
        <v>98.79</v>
      </c>
    </row>
    <row r="395" spans="1:13" ht="15" customHeight="1" x14ac:dyDescent="0.25">
      <c r="A395" s="183" t="s">
        <v>131</v>
      </c>
      <c r="B395" s="184"/>
      <c r="C395" s="185"/>
      <c r="D395" s="42" t="s">
        <v>132</v>
      </c>
      <c r="E395" s="42">
        <f t="shared" ref="E395:F398" si="66">E396</f>
        <v>0</v>
      </c>
      <c r="F395" s="42">
        <f t="shared" si="66"/>
        <v>106.18</v>
      </c>
      <c r="G395" s="42">
        <v>0</v>
      </c>
      <c r="H395" s="42">
        <f t="shared" si="65"/>
        <v>0</v>
      </c>
      <c r="M395" s="47"/>
    </row>
    <row r="396" spans="1:13" x14ac:dyDescent="0.25">
      <c r="A396" s="186">
        <v>3</v>
      </c>
      <c r="B396" s="187"/>
      <c r="C396" s="188"/>
      <c r="D396" s="39" t="s">
        <v>17</v>
      </c>
      <c r="E396" s="40">
        <f t="shared" si="66"/>
        <v>0</v>
      </c>
      <c r="F396" s="40">
        <f t="shared" si="66"/>
        <v>106.18</v>
      </c>
      <c r="G396" s="40">
        <v>0</v>
      </c>
      <c r="H396" s="40">
        <f t="shared" si="65"/>
        <v>0</v>
      </c>
    </row>
    <row r="397" spans="1:13" x14ac:dyDescent="0.25">
      <c r="A397" s="189">
        <v>32</v>
      </c>
      <c r="B397" s="190"/>
      <c r="C397" s="191"/>
      <c r="D397" s="61" t="s">
        <v>25</v>
      </c>
      <c r="E397" s="60">
        <f t="shared" si="66"/>
        <v>0</v>
      </c>
      <c r="F397" s="60">
        <f t="shared" si="66"/>
        <v>106.18</v>
      </c>
      <c r="G397" s="60">
        <v>0</v>
      </c>
      <c r="H397" s="60">
        <f t="shared" si="65"/>
        <v>0</v>
      </c>
    </row>
    <row r="398" spans="1:13" x14ac:dyDescent="0.25">
      <c r="A398" s="195" t="s">
        <v>189</v>
      </c>
      <c r="B398" s="196"/>
      <c r="C398" s="197"/>
      <c r="D398" s="78" t="s">
        <v>64</v>
      </c>
      <c r="E398" s="79">
        <f t="shared" si="66"/>
        <v>0</v>
      </c>
      <c r="F398" s="79">
        <f t="shared" si="66"/>
        <v>106.18</v>
      </c>
      <c r="G398" s="79">
        <f>G399</f>
        <v>0</v>
      </c>
      <c r="H398" s="79">
        <f t="shared" si="65"/>
        <v>0</v>
      </c>
    </row>
    <row r="399" spans="1:13" x14ac:dyDescent="0.25">
      <c r="A399" s="192" t="s">
        <v>172</v>
      </c>
      <c r="B399" s="193"/>
      <c r="C399" s="194"/>
      <c r="D399" s="32" t="s">
        <v>106</v>
      </c>
      <c r="E399" s="35"/>
      <c r="F399" s="35">
        <v>106.18</v>
      </c>
      <c r="G399" s="35"/>
      <c r="H399" s="36"/>
    </row>
    <row r="400" spans="1:13" ht="15" customHeight="1" x14ac:dyDescent="0.25">
      <c r="A400" s="183" t="s">
        <v>135</v>
      </c>
      <c r="B400" s="184"/>
      <c r="C400" s="185"/>
      <c r="D400" s="42" t="s">
        <v>136</v>
      </c>
      <c r="E400" s="42">
        <f>E401+E406</f>
        <v>26198.61</v>
      </c>
      <c r="F400" s="42">
        <f>F401+F406</f>
        <v>26128.86</v>
      </c>
      <c r="G400" s="42">
        <f>G401+G406</f>
        <v>25918.48</v>
      </c>
      <c r="H400" s="42">
        <f t="shared" si="65"/>
        <v>99.19</v>
      </c>
    </row>
    <row r="401" spans="1:8" x14ac:dyDescent="0.25">
      <c r="A401" s="186">
        <v>3</v>
      </c>
      <c r="B401" s="187"/>
      <c r="C401" s="188"/>
      <c r="D401" s="39" t="s">
        <v>17</v>
      </c>
      <c r="E401" s="40">
        <f t="shared" ref="E401:F403" si="67">E402</f>
        <v>24655.89</v>
      </c>
      <c r="F401" s="40">
        <f t="shared" si="67"/>
        <v>24991.98</v>
      </c>
      <c r="G401" s="40">
        <f>G402</f>
        <v>24851.45</v>
      </c>
      <c r="H401" s="40">
        <f t="shared" si="65"/>
        <v>99.44</v>
      </c>
    </row>
    <row r="402" spans="1:8" x14ac:dyDescent="0.25">
      <c r="A402" s="189">
        <v>32</v>
      </c>
      <c r="B402" s="190"/>
      <c r="C402" s="191"/>
      <c r="D402" s="61" t="s">
        <v>25</v>
      </c>
      <c r="E402" s="60">
        <f t="shared" si="67"/>
        <v>24655.89</v>
      </c>
      <c r="F402" s="60">
        <f t="shared" si="67"/>
        <v>24991.98</v>
      </c>
      <c r="G402" s="60">
        <f>G403</f>
        <v>24851.45</v>
      </c>
      <c r="H402" s="60">
        <f t="shared" si="65"/>
        <v>99.44</v>
      </c>
    </row>
    <row r="403" spans="1:8" x14ac:dyDescent="0.25">
      <c r="A403" s="195" t="s">
        <v>189</v>
      </c>
      <c r="B403" s="196"/>
      <c r="C403" s="197"/>
      <c r="D403" s="78" t="s">
        <v>64</v>
      </c>
      <c r="E403" s="79">
        <f t="shared" si="67"/>
        <v>24655.89</v>
      </c>
      <c r="F403" s="79">
        <f t="shared" si="67"/>
        <v>24991.98</v>
      </c>
      <c r="G403" s="79">
        <f>G404</f>
        <v>24851.45</v>
      </c>
      <c r="H403" s="79">
        <f t="shared" si="65"/>
        <v>99.44</v>
      </c>
    </row>
    <row r="404" spans="1:8" x14ac:dyDescent="0.25">
      <c r="A404" s="192" t="s">
        <v>172</v>
      </c>
      <c r="B404" s="193"/>
      <c r="C404" s="194"/>
      <c r="D404" s="32" t="s">
        <v>106</v>
      </c>
      <c r="E404" s="35">
        <f>185769.84/E2</f>
        <v>24655.89</v>
      </c>
      <c r="F404" s="35">
        <v>24991.98</v>
      </c>
      <c r="G404" s="35">
        <f>19460.75+5390.7</f>
        <v>24851.45</v>
      </c>
      <c r="H404" s="36">
        <f t="shared" si="65"/>
        <v>99.44</v>
      </c>
    </row>
    <row r="405" spans="1:8" x14ac:dyDescent="0.25">
      <c r="A405" s="189">
        <v>34</v>
      </c>
      <c r="B405" s="190"/>
      <c r="C405" s="191"/>
      <c r="D405" s="61" t="s">
        <v>88</v>
      </c>
      <c r="E405" s="60">
        <v>0</v>
      </c>
      <c r="F405" s="60">
        <v>0</v>
      </c>
      <c r="G405" s="60">
        <v>0</v>
      </c>
      <c r="H405" s="60"/>
    </row>
    <row r="406" spans="1:8" ht="25.5" x14ac:dyDescent="0.25">
      <c r="A406" s="186">
        <v>4</v>
      </c>
      <c r="B406" s="187"/>
      <c r="C406" s="188"/>
      <c r="D406" s="39" t="s">
        <v>19</v>
      </c>
      <c r="E406" s="40">
        <f t="shared" ref="E406:G408" si="68">E407</f>
        <v>1542.72</v>
      </c>
      <c r="F406" s="40">
        <f t="shared" si="68"/>
        <v>1136.8800000000001</v>
      </c>
      <c r="G406" s="40">
        <f t="shared" si="68"/>
        <v>1067.03</v>
      </c>
      <c r="H406" s="40">
        <f t="shared" si="65"/>
        <v>93.86</v>
      </c>
    </row>
    <row r="407" spans="1:8" ht="25.5" x14ac:dyDescent="0.25">
      <c r="A407" s="189">
        <v>42</v>
      </c>
      <c r="B407" s="190"/>
      <c r="C407" s="191"/>
      <c r="D407" s="61" t="s">
        <v>93</v>
      </c>
      <c r="E407" s="60">
        <f t="shared" si="68"/>
        <v>1542.72</v>
      </c>
      <c r="F407" s="60">
        <f t="shared" si="68"/>
        <v>1136.8800000000001</v>
      </c>
      <c r="G407" s="60">
        <f t="shared" si="68"/>
        <v>1067.03</v>
      </c>
      <c r="H407" s="60">
        <f t="shared" si="65"/>
        <v>93.86</v>
      </c>
    </row>
    <row r="408" spans="1:8" x14ac:dyDescent="0.25">
      <c r="A408" s="195" t="s">
        <v>219</v>
      </c>
      <c r="B408" s="196"/>
      <c r="C408" s="197"/>
      <c r="D408" s="78" t="s">
        <v>220</v>
      </c>
      <c r="E408" s="79">
        <f t="shared" si="68"/>
        <v>1542.72</v>
      </c>
      <c r="F408" s="79">
        <f t="shared" si="68"/>
        <v>1136.8800000000001</v>
      </c>
      <c r="G408" s="79">
        <f t="shared" si="68"/>
        <v>1067.03</v>
      </c>
      <c r="H408" s="79">
        <f t="shared" si="65"/>
        <v>93.86</v>
      </c>
    </row>
    <row r="409" spans="1:8" x14ac:dyDescent="0.25">
      <c r="A409" s="192" t="s">
        <v>165</v>
      </c>
      <c r="B409" s="193"/>
      <c r="C409" s="194"/>
      <c r="D409" s="32" t="s">
        <v>107</v>
      </c>
      <c r="E409" s="35">
        <f>11623.61/E2</f>
        <v>1542.72</v>
      </c>
      <c r="F409" s="35">
        <v>1136.8800000000001</v>
      </c>
      <c r="G409" s="35">
        <v>1067.03</v>
      </c>
      <c r="H409" s="36"/>
    </row>
    <row r="410" spans="1:8" ht="45" customHeight="1" x14ac:dyDescent="0.25">
      <c r="A410" s="198" t="s">
        <v>73</v>
      </c>
      <c r="B410" s="199"/>
      <c r="C410" s="200"/>
      <c r="D410" s="38" t="s">
        <v>248</v>
      </c>
      <c r="E410" s="41">
        <f>E411</f>
        <v>0</v>
      </c>
      <c r="F410" s="41">
        <f>F411</f>
        <v>0</v>
      </c>
      <c r="G410" s="41">
        <f>G411</f>
        <v>1021.77</v>
      </c>
      <c r="H410" s="41"/>
    </row>
    <row r="411" spans="1:8" ht="15" customHeight="1" x14ac:dyDescent="0.25">
      <c r="A411" s="183" t="s">
        <v>135</v>
      </c>
      <c r="B411" s="184"/>
      <c r="C411" s="185"/>
      <c r="D411" s="42" t="s">
        <v>136</v>
      </c>
      <c r="E411" s="42">
        <f>E412</f>
        <v>0</v>
      </c>
      <c r="F411" s="42">
        <f>F412+F417</f>
        <v>0</v>
      </c>
      <c r="G411" s="42">
        <f>G412</f>
        <v>1021.77</v>
      </c>
      <c r="H411" s="42"/>
    </row>
    <row r="412" spans="1:8" x14ac:dyDescent="0.25">
      <c r="A412" s="186">
        <v>3</v>
      </c>
      <c r="B412" s="187"/>
      <c r="C412" s="188"/>
      <c r="D412" s="77" t="s">
        <v>17</v>
      </c>
      <c r="E412" s="40">
        <f t="shared" ref="E412:F414" si="69">E413</f>
        <v>0</v>
      </c>
      <c r="F412" s="40">
        <f t="shared" si="69"/>
        <v>0</v>
      </c>
      <c r="G412" s="40">
        <f>G413</f>
        <v>1021.77</v>
      </c>
      <c r="H412" s="40"/>
    </row>
    <row r="413" spans="1:8" x14ac:dyDescent="0.25">
      <c r="A413" s="189">
        <v>38</v>
      </c>
      <c r="B413" s="190"/>
      <c r="C413" s="191"/>
      <c r="D413" s="61" t="s">
        <v>25</v>
      </c>
      <c r="E413" s="60">
        <f t="shared" si="69"/>
        <v>0</v>
      </c>
      <c r="F413" s="60">
        <f t="shared" si="69"/>
        <v>0</v>
      </c>
      <c r="G413" s="60">
        <f>G414</f>
        <v>1021.77</v>
      </c>
      <c r="H413" s="60"/>
    </row>
    <row r="414" spans="1:8" x14ac:dyDescent="0.25">
      <c r="A414" s="195" t="s">
        <v>215</v>
      </c>
      <c r="B414" s="196"/>
      <c r="C414" s="197"/>
      <c r="D414" s="78" t="s">
        <v>91</v>
      </c>
      <c r="E414" s="79">
        <f t="shared" si="69"/>
        <v>0</v>
      </c>
      <c r="F414" s="79">
        <f t="shared" si="69"/>
        <v>0</v>
      </c>
      <c r="G414" s="79">
        <f>G415</f>
        <v>1021.77</v>
      </c>
      <c r="H414" s="79"/>
    </row>
    <row r="415" spans="1:8" x14ac:dyDescent="0.25">
      <c r="A415" s="192" t="s">
        <v>223</v>
      </c>
      <c r="B415" s="193"/>
      <c r="C415" s="194"/>
      <c r="D415" s="32" t="s">
        <v>249</v>
      </c>
      <c r="E415" s="35"/>
      <c r="F415" s="35">
        <v>0</v>
      </c>
      <c r="G415" s="35">
        <v>1021.77</v>
      </c>
      <c r="H415" s="36"/>
    </row>
    <row r="417" spans="1:7" x14ac:dyDescent="0.25">
      <c r="A417" t="s">
        <v>236</v>
      </c>
      <c r="E417" t="s">
        <v>237</v>
      </c>
      <c r="G417" t="s">
        <v>238</v>
      </c>
    </row>
    <row r="418" spans="1:7" x14ac:dyDescent="0.25">
      <c r="A418" t="s">
        <v>406</v>
      </c>
      <c r="E418" t="s">
        <v>407</v>
      </c>
      <c r="G418" t="s">
        <v>408</v>
      </c>
    </row>
    <row r="419" spans="1:7" x14ac:dyDescent="0.25">
      <c r="A419" t="s">
        <v>405</v>
      </c>
    </row>
  </sheetData>
  <autoFilter ref="A5:Q415">
    <filterColumn colId="0" showButton="0"/>
    <filterColumn colId="1" showButton="0"/>
  </autoFilter>
  <mergeCells count="405">
    <mergeCell ref="A217:C217"/>
    <mergeCell ref="A218:C218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199:C199"/>
    <mergeCell ref="A200:C200"/>
    <mergeCell ref="A201:C201"/>
    <mergeCell ref="A202:C202"/>
    <mergeCell ref="A203:C203"/>
    <mergeCell ref="A205:C205"/>
    <mergeCell ref="A206:C206"/>
    <mergeCell ref="A204:C204"/>
    <mergeCell ref="A207:C207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81:C81"/>
    <mergeCell ref="A82:C82"/>
    <mergeCell ref="A83:C83"/>
    <mergeCell ref="A84:C84"/>
    <mergeCell ref="A94:C94"/>
    <mergeCell ref="A95:C95"/>
    <mergeCell ref="A105:C105"/>
    <mergeCell ref="A106:C106"/>
    <mergeCell ref="A69:C69"/>
    <mergeCell ref="A86:C86"/>
    <mergeCell ref="A87:C87"/>
    <mergeCell ref="A88:C88"/>
    <mergeCell ref="A97:C97"/>
    <mergeCell ref="A103:C103"/>
    <mergeCell ref="A75:C75"/>
    <mergeCell ref="A102:C102"/>
    <mergeCell ref="A89:C89"/>
    <mergeCell ref="A96:C96"/>
    <mergeCell ref="A34:C34"/>
    <mergeCell ref="A20:C20"/>
    <mergeCell ref="A21:C21"/>
    <mergeCell ref="A22:C22"/>
    <mergeCell ref="A23:C23"/>
    <mergeCell ref="A24:C24"/>
    <mergeCell ref="A25:C25"/>
    <mergeCell ref="A79:C79"/>
    <mergeCell ref="A80:C80"/>
    <mergeCell ref="A38:C38"/>
    <mergeCell ref="A39:C39"/>
    <mergeCell ref="A41:C41"/>
    <mergeCell ref="A42:C42"/>
    <mergeCell ref="A53:C53"/>
    <mergeCell ref="A71:C71"/>
    <mergeCell ref="A72:C72"/>
    <mergeCell ref="A74:C74"/>
    <mergeCell ref="A56:C56"/>
    <mergeCell ref="A31:C31"/>
    <mergeCell ref="A35:C35"/>
    <mergeCell ref="A40:C40"/>
    <mergeCell ref="A49:C49"/>
    <mergeCell ref="A73:C73"/>
    <mergeCell ref="A70:C70"/>
    <mergeCell ref="A1:H1"/>
    <mergeCell ref="A3:H3"/>
    <mergeCell ref="A5:C5"/>
    <mergeCell ref="A28:C28"/>
    <mergeCell ref="A29:C29"/>
    <mergeCell ref="A30:C30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9:C19"/>
    <mergeCell ref="A26:C26"/>
    <mergeCell ref="A27:C27"/>
    <mergeCell ref="A18:C18"/>
    <mergeCell ref="A357:C357"/>
    <mergeCell ref="A222:C222"/>
    <mergeCell ref="A190:C190"/>
    <mergeCell ref="A191:C191"/>
    <mergeCell ref="A219:C219"/>
    <mergeCell ref="A196:C196"/>
    <mergeCell ref="A198:C198"/>
    <mergeCell ref="A138:C138"/>
    <mergeCell ref="A140:C140"/>
    <mergeCell ref="A149:C149"/>
    <mergeCell ref="A151:C151"/>
    <mergeCell ref="A153:C153"/>
    <mergeCell ref="A156:C156"/>
    <mergeCell ref="A197:C197"/>
    <mergeCell ref="A143:C143"/>
    <mergeCell ref="A187:C187"/>
    <mergeCell ref="A188:C188"/>
    <mergeCell ref="A189:C189"/>
    <mergeCell ref="A288:C288"/>
    <mergeCell ref="A289:C289"/>
    <mergeCell ref="A286:C286"/>
    <mergeCell ref="A287:C287"/>
    <mergeCell ref="A303:C303"/>
    <mergeCell ref="A186:C186"/>
    <mergeCell ref="A228:C228"/>
    <mergeCell ref="A223:C223"/>
    <mergeCell ref="A128:C128"/>
    <mergeCell ref="A98:C98"/>
    <mergeCell ref="A99:C99"/>
    <mergeCell ref="A100:C100"/>
    <mergeCell ref="A101:C101"/>
    <mergeCell ref="A107:C107"/>
    <mergeCell ref="A108:C108"/>
    <mergeCell ref="A115:C115"/>
    <mergeCell ref="A119:C119"/>
    <mergeCell ref="A120:C120"/>
    <mergeCell ref="A127:C127"/>
    <mergeCell ref="A126:C126"/>
    <mergeCell ref="A124:C124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226:C226"/>
    <mergeCell ref="A231:C231"/>
    <mergeCell ref="A254:C254"/>
    <mergeCell ref="A245:C245"/>
    <mergeCell ref="A234:C234"/>
    <mergeCell ref="A220:C220"/>
    <mergeCell ref="A221:C221"/>
    <mergeCell ref="A363:C363"/>
    <mergeCell ref="A192:C192"/>
    <mergeCell ref="A193:C193"/>
    <mergeCell ref="A194:C194"/>
    <mergeCell ref="A195:C195"/>
    <mergeCell ref="A356:C356"/>
    <mergeCell ref="A355:C355"/>
    <mergeCell ref="A332:C332"/>
    <mergeCell ref="A333:C333"/>
    <mergeCell ref="A342:C342"/>
    <mergeCell ref="A350:C350"/>
    <mergeCell ref="A251:C251"/>
    <mergeCell ref="A258:C258"/>
    <mergeCell ref="A262:C262"/>
    <mergeCell ref="A225:C225"/>
    <mergeCell ref="A224:C224"/>
    <mergeCell ref="A229:C229"/>
    <mergeCell ref="A365:C365"/>
    <mergeCell ref="A371:C371"/>
    <mergeCell ref="A381:C381"/>
    <mergeCell ref="A380:C380"/>
    <mergeCell ref="A360:C360"/>
    <mergeCell ref="A358:C358"/>
    <mergeCell ref="A367:C367"/>
    <mergeCell ref="A370:C370"/>
    <mergeCell ref="A375:C375"/>
    <mergeCell ref="A377:C377"/>
    <mergeCell ref="A378:C378"/>
    <mergeCell ref="A373:C373"/>
    <mergeCell ref="A361:C361"/>
    <mergeCell ref="A366:C366"/>
    <mergeCell ref="A364:C364"/>
    <mergeCell ref="A359:C359"/>
    <mergeCell ref="A406:C406"/>
    <mergeCell ref="A400:C400"/>
    <mergeCell ref="A401:C401"/>
    <mergeCell ref="A402:C402"/>
    <mergeCell ref="A405:C405"/>
    <mergeCell ref="A394:C394"/>
    <mergeCell ref="A395:C395"/>
    <mergeCell ref="A396:C396"/>
    <mergeCell ref="A397:C397"/>
    <mergeCell ref="A340:C340"/>
    <mergeCell ref="A341:C341"/>
    <mergeCell ref="A346:C346"/>
    <mergeCell ref="A344:C344"/>
    <mergeCell ref="A348:C348"/>
    <mergeCell ref="A382:C382"/>
    <mergeCell ref="A54:C54"/>
    <mergeCell ref="A76:C76"/>
    <mergeCell ref="A43:C43"/>
    <mergeCell ref="A44:C44"/>
    <mergeCell ref="A45:C45"/>
    <mergeCell ref="A46:C46"/>
    <mergeCell ref="A47:C47"/>
    <mergeCell ref="A48:C48"/>
    <mergeCell ref="A50:C50"/>
    <mergeCell ref="A51:C51"/>
    <mergeCell ref="A52:C52"/>
    <mergeCell ref="A66:C66"/>
    <mergeCell ref="A67:C67"/>
    <mergeCell ref="A68:C68"/>
    <mergeCell ref="A65:C65"/>
    <mergeCell ref="A57:C57"/>
    <mergeCell ref="A62:C62"/>
    <mergeCell ref="A64:C64"/>
    <mergeCell ref="A110:C110"/>
    <mergeCell ref="A112:C112"/>
    <mergeCell ref="A117:C117"/>
    <mergeCell ref="A118:C118"/>
    <mergeCell ref="A114:C114"/>
    <mergeCell ref="A123:C123"/>
    <mergeCell ref="A125:C125"/>
    <mergeCell ref="A121:C121"/>
    <mergeCell ref="A104:C104"/>
    <mergeCell ref="A116:C116"/>
    <mergeCell ref="A109:C109"/>
    <mergeCell ref="A111:C111"/>
    <mergeCell ref="A113:C113"/>
    <mergeCell ref="A122:C122"/>
    <mergeCell ref="A129:C129"/>
    <mergeCell ref="A136:C136"/>
    <mergeCell ref="A130:C130"/>
    <mergeCell ref="A131:C131"/>
    <mergeCell ref="A132:C132"/>
    <mergeCell ref="A308:C308"/>
    <mergeCell ref="A309:C309"/>
    <mergeCell ref="A253:C253"/>
    <mergeCell ref="A280:C280"/>
    <mergeCell ref="A272:C272"/>
    <mergeCell ref="A274:C274"/>
    <mergeCell ref="A279:C279"/>
    <mergeCell ref="A259:C259"/>
    <mergeCell ref="A260:C260"/>
    <mergeCell ref="A263:C263"/>
    <mergeCell ref="A264:C264"/>
    <mergeCell ref="A270:C270"/>
    <mergeCell ref="A271:C271"/>
    <mergeCell ref="A268:C268"/>
    <mergeCell ref="A275:C275"/>
    <mergeCell ref="A276:C276"/>
    <mergeCell ref="A277:C277"/>
    <mergeCell ref="A261:C261"/>
    <mergeCell ref="A267:C267"/>
    <mergeCell ref="A78:C78"/>
    <mergeCell ref="A32:C32"/>
    <mergeCell ref="A58:C58"/>
    <mergeCell ref="A59:C59"/>
    <mergeCell ref="A60:C60"/>
    <mergeCell ref="A354:C354"/>
    <mergeCell ref="A353:C353"/>
    <mergeCell ref="A313:C313"/>
    <mergeCell ref="A282:C282"/>
    <mergeCell ref="A283:C283"/>
    <mergeCell ref="A314:C314"/>
    <mergeCell ref="A315:C315"/>
    <mergeCell ref="A322:C322"/>
    <mergeCell ref="A325:C325"/>
    <mergeCell ref="A330:C330"/>
    <mergeCell ref="A336:C336"/>
    <mergeCell ref="A328:C328"/>
    <mergeCell ref="A331:C331"/>
    <mergeCell ref="A319:C319"/>
    <mergeCell ref="A320:C320"/>
    <mergeCell ref="A326:C326"/>
    <mergeCell ref="A327:C327"/>
    <mergeCell ref="A334:C334"/>
    <mergeCell ref="A293:C293"/>
    <mergeCell ref="A33:C33"/>
    <mergeCell ref="A36:C36"/>
    <mergeCell ref="A37:C37"/>
    <mergeCell ref="A85:C85"/>
    <mergeCell ref="A92:C92"/>
    <mergeCell ref="A93:C93"/>
    <mergeCell ref="A90:C90"/>
    <mergeCell ref="A91:C91"/>
    <mergeCell ref="A158:C158"/>
    <mergeCell ref="A145:C145"/>
    <mergeCell ref="A146:C146"/>
    <mergeCell ref="A147:C147"/>
    <mergeCell ref="A148:C148"/>
    <mergeCell ref="A150:C150"/>
    <mergeCell ref="A152:C152"/>
    <mergeCell ref="A154:C154"/>
    <mergeCell ref="A133:C133"/>
    <mergeCell ref="A134:C134"/>
    <mergeCell ref="A135:C135"/>
    <mergeCell ref="A137:C137"/>
    <mergeCell ref="A55:C55"/>
    <mergeCell ref="A61:C61"/>
    <mergeCell ref="A63:C63"/>
    <mergeCell ref="A77:C77"/>
    <mergeCell ref="A139:C139"/>
    <mergeCell ref="A141:C141"/>
    <mergeCell ref="A142:C142"/>
    <mergeCell ref="A144:C144"/>
    <mergeCell ref="A290:C290"/>
    <mergeCell ref="A291:C291"/>
    <mergeCell ref="A292:C292"/>
    <mergeCell ref="A246:C246"/>
    <mergeCell ref="A248:C248"/>
    <mergeCell ref="A249:C249"/>
    <mergeCell ref="A155:C155"/>
    <mergeCell ref="A157:C157"/>
    <mergeCell ref="A269:C269"/>
    <mergeCell ref="A273:C273"/>
    <mergeCell ref="A278:C278"/>
    <mergeCell ref="A281:C281"/>
    <mergeCell ref="A247:C247"/>
    <mergeCell ref="A250:C250"/>
    <mergeCell ref="A265:C265"/>
    <mergeCell ref="A285:C285"/>
    <mergeCell ref="A284:C284"/>
    <mergeCell ref="A230:C230"/>
    <mergeCell ref="A232:C232"/>
    <mergeCell ref="A227:C227"/>
    <mergeCell ref="A237:C237"/>
    <mergeCell ref="A233:C233"/>
    <mergeCell ref="A235:C235"/>
    <mergeCell ref="A345:C345"/>
    <mergeCell ref="A347:C347"/>
    <mergeCell ref="A318:C318"/>
    <mergeCell ref="A323:C323"/>
    <mergeCell ref="A338:C338"/>
    <mergeCell ref="A316:C316"/>
    <mergeCell ref="A310:C310"/>
    <mergeCell ref="A312:C312"/>
    <mergeCell ref="A298:C298"/>
    <mergeCell ref="A299:C299"/>
    <mergeCell ref="A304:C304"/>
    <mergeCell ref="A305:C305"/>
    <mergeCell ref="A306:C306"/>
    <mergeCell ref="A307:C307"/>
    <mergeCell ref="A300:C300"/>
    <mergeCell ref="A302:C302"/>
    <mergeCell ref="A236:C236"/>
    <mergeCell ref="A238:C238"/>
    <mergeCell ref="A243:C243"/>
    <mergeCell ref="A244:C244"/>
    <mergeCell ref="A255:C255"/>
    <mergeCell ref="A414:C414"/>
    <mergeCell ref="A415:C415"/>
    <mergeCell ref="A410:C410"/>
    <mergeCell ref="A411:C411"/>
    <mergeCell ref="A412:C412"/>
    <mergeCell ref="A413:C413"/>
    <mergeCell ref="A369:C369"/>
    <mergeCell ref="A374:C374"/>
    <mergeCell ref="A379:C379"/>
    <mergeCell ref="A384:C384"/>
    <mergeCell ref="A389:C389"/>
    <mergeCell ref="A392:C392"/>
    <mergeCell ref="A398:C398"/>
    <mergeCell ref="A403:C403"/>
    <mergeCell ref="A408:C408"/>
    <mergeCell ref="A391:C391"/>
    <mergeCell ref="A393:C393"/>
    <mergeCell ref="A399:C399"/>
    <mergeCell ref="A404:C404"/>
    <mergeCell ref="A409:C409"/>
    <mergeCell ref="A372:C372"/>
    <mergeCell ref="A386:C386"/>
    <mergeCell ref="A387:C387"/>
    <mergeCell ref="A388:C388"/>
    <mergeCell ref="A239:C239"/>
    <mergeCell ref="A240:C240"/>
    <mergeCell ref="A241:C241"/>
    <mergeCell ref="A407:C407"/>
    <mergeCell ref="A383:C383"/>
    <mergeCell ref="A294:C294"/>
    <mergeCell ref="A295:C295"/>
    <mergeCell ref="A297:C297"/>
    <mergeCell ref="A296:C296"/>
    <mergeCell ref="A301:C301"/>
    <mergeCell ref="A311:C311"/>
    <mergeCell ref="A351:C351"/>
    <mergeCell ref="A317:C317"/>
    <mergeCell ref="A324:C324"/>
    <mergeCell ref="A321:C321"/>
    <mergeCell ref="A329:C329"/>
    <mergeCell ref="A335:C335"/>
    <mergeCell ref="A337:C337"/>
    <mergeCell ref="A339:C339"/>
    <mergeCell ref="A343:C343"/>
    <mergeCell ref="A242:C242"/>
    <mergeCell ref="A256:C256"/>
    <mergeCell ref="A257:C257"/>
    <mergeCell ref="A266:C266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rowBreaks count="5" manualBreakCount="5">
    <brk id="19" max="7" man="1"/>
    <brk id="78" max="7" man="1"/>
    <brk id="218" max="7" man="1"/>
    <brk id="274" max="7" man="1"/>
    <brk id="330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SAŽETAK kn</vt:lpstr>
      <vt:lpstr>SAŽETAK EUR</vt:lpstr>
      <vt:lpstr>Prihodi-ekonom.klasif.</vt:lpstr>
      <vt:lpstr>Rashodi-ekonm.klasif.</vt:lpstr>
      <vt:lpstr>Prih. i rash.prema izvorima fin</vt:lpstr>
      <vt:lpstr>POSEBNI DIO</vt:lpstr>
      <vt:lpstr>'POSEBNI DIO'!Podrucje_ispisa</vt:lpstr>
      <vt:lpstr>'Prih. i rash.prema izvorima fin'!Podrucje_ispisa</vt:lpstr>
      <vt:lpstr>'Prihodi-ekonom.klasif.'!Podrucje_ispisa</vt:lpstr>
      <vt:lpstr>'Rashodi-ekonm.klasif.'!Podrucje_ispisa</vt:lpstr>
      <vt:lpstr>'SAŽETAK EUR'!Podrucje_ispisa</vt:lpstr>
      <vt:lpstr>'SAŽETAK kn'!Podrucje_ispisa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</cp:lastModifiedBy>
  <cp:lastPrinted>2024-01-29T08:13:35Z</cp:lastPrinted>
  <dcterms:created xsi:type="dcterms:W3CDTF">2022-08-12T12:51:27Z</dcterms:created>
  <dcterms:modified xsi:type="dcterms:W3CDTF">2024-01-29T10:00:05Z</dcterms:modified>
</cp:coreProperties>
</file>