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atarina\Desktop\Škola financije\Financijski plan 2024 (2025, 2026)\"/>
    </mc:Choice>
  </mc:AlternateContent>
  <bookViews>
    <workbookView xWindow="0" yWindow="0" windowWidth="28800" windowHeight="11700" activeTab="4"/>
  </bookViews>
  <sheets>
    <sheet name="SAŽETAK EUR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definedNames>
    <definedName name="_xlnm._FilterDatabase" localSheetId="4" hidden="1">'POSEBNI DIO'!$A$5:$I$387</definedName>
    <definedName name="_xlnm.Print_Area" localSheetId="1">' Račun prihoda i rashoda'!$A$1:$I$71</definedName>
    <definedName name="_xlnm.Print_Area" localSheetId="4">'POSEBNI DIO'!$A$1:$I$431</definedName>
    <definedName name="_xlnm.Print_Area" localSheetId="3">'Račun financiranja'!$A$1:$I$19</definedName>
    <definedName name="_xlnm.Print_Area" localSheetId="2">'Rashodi prema funkcijskoj kl'!$A$1:$F$22</definedName>
    <definedName name="_xlnm.Print_Area" localSheetId="0">'SAŽETAK EUR'!$A$1:$J$40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9" i="7" l="1"/>
  <c r="F399" i="7"/>
  <c r="G399" i="7"/>
  <c r="H399" i="7"/>
  <c r="I399" i="7"/>
  <c r="E413" i="7"/>
  <c r="F413" i="7"/>
  <c r="G413" i="7"/>
  <c r="H413" i="7"/>
  <c r="I413" i="7"/>
  <c r="I385" i="7" l="1"/>
  <c r="I384" i="7" s="1"/>
  <c r="I383" i="7" s="1"/>
  <c r="H385" i="7"/>
  <c r="H384" i="7" s="1"/>
  <c r="H383" i="7" s="1"/>
  <c r="G385" i="7"/>
  <c r="G384" i="7" s="1"/>
  <c r="G383" i="7" s="1"/>
  <c r="F385" i="7"/>
  <c r="F384" i="7" s="1"/>
  <c r="F383" i="7" s="1"/>
  <c r="E385" i="7"/>
  <c r="E384" i="7" s="1"/>
  <c r="E383" i="7" s="1"/>
  <c r="I381" i="7"/>
  <c r="I380" i="7" s="1"/>
  <c r="I379" i="7" s="1"/>
  <c r="H381" i="7"/>
  <c r="H380" i="7" s="1"/>
  <c r="H379" i="7" s="1"/>
  <c r="G381" i="7"/>
  <c r="G380" i="7" s="1"/>
  <c r="G379" i="7" s="1"/>
  <c r="F381" i="7"/>
  <c r="F380" i="7" s="1"/>
  <c r="F379" i="7" s="1"/>
  <c r="E381" i="7"/>
  <c r="E380" i="7" s="1"/>
  <c r="E379" i="7" s="1"/>
  <c r="H153" i="7"/>
  <c r="H155" i="7"/>
  <c r="H154" i="7"/>
  <c r="H152" i="7"/>
  <c r="H151" i="7"/>
  <c r="H150" i="7"/>
  <c r="H149" i="7"/>
  <c r="I306" i="7"/>
  <c r="H306" i="7"/>
  <c r="I329" i="7"/>
  <c r="I327" i="7"/>
  <c r="H329" i="7"/>
  <c r="H327" i="7"/>
  <c r="I324" i="7"/>
  <c r="I322" i="7"/>
  <c r="H324" i="7"/>
  <c r="H322" i="7"/>
  <c r="G329" i="7"/>
  <c r="G327" i="7"/>
  <c r="G324" i="7"/>
  <c r="G322" i="7"/>
  <c r="I351" i="7"/>
  <c r="H351" i="7"/>
  <c r="G351" i="7"/>
  <c r="G306" i="7"/>
  <c r="I193" i="7"/>
  <c r="I192" i="7"/>
  <c r="I190" i="7"/>
  <c r="I189" i="7"/>
  <c r="I188" i="7"/>
  <c r="I184" i="7"/>
  <c r="I183" i="7"/>
  <c r="I181" i="7"/>
  <c r="I180" i="7"/>
  <c r="I179" i="7"/>
  <c r="I165" i="7"/>
  <c r="I164" i="7"/>
  <c r="I163" i="7" s="1"/>
  <c r="I162" i="7"/>
  <c r="I161" i="7"/>
  <c r="I160" i="7"/>
  <c r="H174" i="7"/>
  <c r="H173" i="7"/>
  <c r="H171" i="7"/>
  <c r="H170" i="7"/>
  <c r="H169" i="7"/>
  <c r="H165" i="7"/>
  <c r="H164" i="7"/>
  <c r="H162" i="7"/>
  <c r="H161" i="7"/>
  <c r="H160" i="7"/>
  <c r="I174" i="7"/>
  <c r="I173" i="7"/>
  <c r="I171" i="7"/>
  <c r="I170" i="7"/>
  <c r="I169" i="7"/>
  <c r="I168" i="7" s="1"/>
  <c r="H146" i="7"/>
  <c r="H145" i="7"/>
  <c r="H143" i="7"/>
  <c r="H142" i="7"/>
  <c r="H141" i="7"/>
  <c r="H140" i="7" s="1"/>
  <c r="G155" i="7"/>
  <c r="G146" i="7"/>
  <c r="G142" i="7"/>
  <c r="G152" i="7"/>
  <c r="G143" i="7"/>
  <c r="G150" i="7"/>
  <c r="G141" i="7"/>
  <c r="G132" i="7"/>
  <c r="G123" i="7"/>
  <c r="G154" i="7"/>
  <c r="G151" i="7"/>
  <c r="G133" i="7"/>
  <c r="G136" i="7"/>
  <c r="G131" i="7"/>
  <c r="G145" i="7"/>
  <c r="G124" i="7"/>
  <c r="G122" i="7"/>
  <c r="G127" i="7"/>
  <c r="G135" i="7"/>
  <c r="G126" i="7"/>
  <c r="I191" i="7" l="1"/>
  <c r="H148" i="7"/>
  <c r="F378" i="7"/>
  <c r="I378" i="7"/>
  <c r="E378" i="7"/>
  <c r="H378" i="7"/>
  <c r="G378" i="7"/>
  <c r="G149" i="7"/>
  <c r="G121" i="7"/>
  <c r="I182" i="7"/>
  <c r="G140" i="7"/>
  <c r="F78" i="7"/>
  <c r="F77" i="7" s="1"/>
  <c r="G78" i="7"/>
  <c r="G77" i="7" s="1"/>
  <c r="H78" i="7"/>
  <c r="H77" i="7" s="1"/>
  <c r="I78" i="7"/>
  <c r="I77" i="7" s="1"/>
  <c r="E78" i="7"/>
  <c r="F73" i="7"/>
  <c r="G73" i="7"/>
  <c r="H73" i="7"/>
  <c r="I73" i="7"/>
  <c r="C16" i="5" l="1"/>
  <c r="C12" i="5"/>
  <c r="C14" i="5"/>
  <c r="C18" i="5"/>
  <c r="G367" i="7"/>
  <c r="G366" i="7" s="1"/>
  <c r="F368" i="7"/>
  <c r="F367" i="7" s="1"/>
  <c r="F366" i="7" s="1"/>
  <c r="G368" i="7"/>
  <c r="H368" i="7"/>
  <c r="H367" i="7" s="1"/>
  <c r="H366" i="7" s="1"/>
  <c r="I368" i="7"/>
  <c r="I367" i="7" s="1"/>
  <c r="I366" i="7" s="1"/>
  <c r="E368" i="7"/>
  <c r="E367" i="7" s="1"/>
  <c r="E366" i="7" s="1"/>
  <c r="F376" i="7"/>
  <c r="F375" i="7" s="1"/>
  <c r="G376" i="7"/>
  <c r="G375" i="7" s="1"/>
  <c r="H376" i="7"/>
  <c r="H375" i="7" s="1"/>
  <c r="I376" i="7"/>
  <c r="I375" i="7" s="1"/>
  <c r="F372" i="7"/>
  <c r="F371" i="7" s="1"/>
  <c r="G372" i="7"/>
  <c r="G371" i="7" s="1"/>
  <c r="H372" i="7"/>
  <c r="H371" i="7" s="1"/>
  <c r="I372" i="7"/>
  <c r="I371" i="7" s="1"/>
  <c r="F361" i="7"/>
  <c r="F360" i="7" s="1"/>
  <c r="F359" i="7" s="1"/>
  <c r="F412" i="7" s="1"/>
  <c r="G361" i="7"/>
  <c r="G360" i="7" s="1"/>
  <c r="G359" i="7" s="1"/>
  <c r="G412" i="7" s="1"/>
  <c r="H361" i="7"/>
  <c r="H360" i="7" s="1"/>
  <c r="H359" i="7" s="1"/>
  <c r="H412" i="7" s="1"/>
  <c r="I361" i="7"/>
  <c r="I360" i="7" s="1"/>
  <c r="I359" i="7" s="1"/>
  <c r="I412" i="7" s="1"/>
  <c r="E361" i="7"/>
  <c r="E360" i="7" s="1"/>
  <c r="E359" i="7" s="1"/>
  <c r="E412" i="7" s="1"/>
  <c r="F357" i="7"/>
  <c r="F356" i="7" s="1"/>
  <c r="G357" i="7"/>
  <c r="G356" i="7" s="1"/>
  <c r="H357" i="7"/>
  <c r="I357" i="7"/>
  <c r="F349" i="7"/>
  <c r="F348" i="7" s="1"/>
  <c r="G349" i="7"/>
  <c r="G348" i="7" s="1"/>
  <c r="H349" i="7"/>
  <c r="H348" i="7" s="1"/>
  <c r="I349" i="7"/>
  <c r="I348" i="7" s="1"/>
  <c r="F344" i="7"/>
  <c r="F343" i="7" s="1"/>
  <c r="F342" i="7" s="1"/>
  <c r="G344" i="7"/>
  <c r="G343" i="7" s="1"/>
  <c r="G342" i="7" s="1"/>
  <c r="H344" i="7"/>
  <c r="H343" i="7" s="1"/>
  <c r="H342" i="7" s="1"/>
  <c r="I344" i="7"/>
  <c r="I343" i="7" s="1"/>
  <c r="I342" i="7" s="1"/>
  <c r="F340" i="7"/>
  <c r="G340" i="7"/>
  <c r="G339" i="7" s="1"/>
  <c r="H340" i="7"/>
  <c r="H339" i="7" s="1"/>
  <c r="I340" i="7"/>
  <c r="I339" i="7" s="1"/>
  <c r="E340" i="7"/>
  <c r="E339" i="7" s="1"/>
  <c r="F336" i="7"/>
  <c r="F335" i="7" s="1"/>
  <c r="G336" i="7"/>
  <c r="G335" i="7" s="1"/>
  <c r="H336" i="7"/>
  <c r="H335" i="7" s="1"/>
  <c r="I336" i="7"/>
  <c r="I335" i="7" s="1"/>
  <c r="E336" i="7"/>
  <c r="E335" i="7" s="1"/>
  <c r="F331" i="7"/>
  <c r="G331" i="7"/>
  <c r="H331" i="7"/>
  <c r="I331" i="7"/>
  <c r="F326" i="7"/>
  <c r="G326" i="7"/>
  <c r="H326" i="7"/>
  <c r="I326" i="7"/>
  <c r="F321" i="7"/>
  <c r="F36" i="3" s="1"/>
  <c r="G321" i="7"/>
  <c r="H321" i="7"/>
  <c r="I321" i="7"/>
  <c r="F316" i="7"/>
  <c r="G316" i="7"/>
  <c r="G315" i="7" s="1"/>
  <c r="G314" i="7" s="1"/>
  <c r="G411" i="7" s="1"/>
  <c r="H316" i="7"/>
  <c r="H315" i="7" s="1"/>
  <c r="H314" i="7" s="1"/>
  <c r="H411" i="7" s="1"/>
  <c r="I316" i="7"/>
  <c r="I315" i="7" s="1"/>
  <c r="I314" i="7" s="1"/>
  <c r="I411" i="7" s="1"/>
  <c r="F310" i="7"/>
  <c r="F309" i="7" s="1"/>
  <c r="G310" i="7"/>
  <c r="G309" i="7" s="1"/>
  <c r="H310" i="7"/>
  <c r="H309" i="7" s="1"/>
  <c r="I310" i="7"/>
  <c r="I309" i="7" s="1"/>
  <c r="F307" i="7"/>
  <c r="G307" i="7"/>
  <c r="H307" i="7"/>
  <c r="I307" i="7"/>
  <c r="F283" i="7"/>
  <c r="F282" i="7" s="1"/>
  <c r="G283" i="7"/>
  <c r="G282" i="7" s="1"/>
  <c r="H283" i="7"/>
  <c r="H282" i="7" s="1"/>
  <c r="I283" i="7"/>
  <c r="I282" i="7" s="1"/>
  <c r="F287" i="7"/>
  <c r="G287" i="7"/>
  <c r="H287" i="7"/>
  <c r="I287" i="7"/>
  <c r="F277" i="7"/>
  <c r="G277" i="7"/>
  <c r="H277" i="7"/>
  <c r="I277" i="7"/>
  <c r="F250" i="7"/>
  <c r="F266" i="7"/>
  <c r="G266" i="7"/>
  <c r="H266" i="7"/>
  <c r="I266" i="7"/>
  <c r="F243" i="7"/>
  <c r="F242" i="7" s="1"/>
  <c r="G243" i="7"/>
  <c r="H243" i="7"/>
  <c r="I243" i="7"/>
  <c r="F270" i="7"/>
  <c r="F269" i="7" s="1"/>
  <c r="G270" i="7"/>
  <c r="G269" i="7" s="1"/>
  <c r="H270" i="7"/>
  <c r="H269" i="7" s="1"/>
  <c r="I270" i="7"/>
  <c r="I269" i="7" s="1"/>
  <c r="E270" i="7"/>
  <c r="E269" i="7" s="1"/>
  <c r="G250" i="7"/>
  <c r="H250" i="7"/>
  <c r="I250" i="7"/>
  <c r="E250" i="7"/>
  <c r="E266" i="7"/>
  <c r="F239" i="7"/>
  <c r="F49" i="3" s="1"/>
  <c r="G239" i="7"/>
  <c r="H239" i="7"/>
  <c r="I239" i="7"/>
  <c r="F225" i="7"/>
  <c r="G225" i="7"/>
  <c r="G41" i="3" s="1"/>
  <c r="H225" i="7"/>
  <c r="I225" i="7"/>
  <c r="F219" i="7"/>
  <c r="F218" i="7" s="1"/>
  <c r="F217" i="7" s="1"/>
  <c r="G219" i="7"/>
  <c r="G218" i="7" s="1"/>
  <c r="G217" i="7" s="1"/>
  <c r="H219" i="7"/>
  <c r="H218" i="7" s="1"/>
  <c r="H217" i="7" s="1"/>
  <c r="I219" i="7"/>
  <c r="I218" i="7" s="1"/>
  <c r="I217" i="7" s="1"/>
  <c r="E219" i="7"/>
  <c r="E218" i="7" s="1"/>
  <c r="E217" i="7" s="1"/>
  <c r="F215" i="7"/>
  <c r="F214" i="7" s="1"/>
  <c r="F213" i="7" s="1"/>
  <c r="F212" i="7" s="1"/>
  <c r="F211" i="7" s="1"/>
  <c r="G215" i="7"/>
  <c r="G214" i="7" s="1"/>
  <c r="G213" i="7" s="1"/>
  <c r="G212" i="7" s="1"/>
  <c r="G211" i="7" s="1"/>
  <c r="H215" i="7"/>
  <c r="H214" i="7" s="1"/>
  <c r="H213" i="7" s="1"/>
  <c r="H212" i="7" s="1"/>
  <c r="H211" i="7" s="1"/>
  <c r="I215" i="7"/>
  <c r="I214" i="7" s="1"/>
  <c r="I213" i="7" s="1"/>
  <c r="I212" i="7" s="1"/>
  <c r="I211" i="7" s="1"/>
  <c r="F209" i="7"/>
  <c r="F208" i="7" s="1"/>
  <c r="F207" i="7" s="1"/>
  <c r="F206" i="7" s="1"/>
  <c r="G209" i="7"/>
  <c r="G208" i="7" s="1"/>
  <c r="G207" i="7" s="1"/>
  <c r="G206" i="7" s="1"/>
  <c r="H209" i="7"/>
  <c r="H208" i="7" s="1"/>
  <c r="H207" i="7" s="1"/>
  <c r="H206" i="7" s="1"/>
  <c r="I209" i="7"/>
  <c r="I208" i="7" s="1"/>
  <c r="I207" i="7" s="1"/>
  <c r="I206" i="7" s="1"/>
  <c r="F204" i="7"/>
  <c r="G204" i="7"/>
  <c r="H204" i="7"/>
  <c r="H401" i="7" s="1"/>
  <c r="I204" i="7"/>
  <c r="I401" i="7" s="1"/>
  <c r="F198" i="7"/>
  <c r="F197" i="7" s="1"/>
  <c r="F196" i="7" s="1"/>
  <c r="F195" i="7" s="1"/>
  <c r="G198" i="7"/>
  <c r="G197" i="7" s="1"/>
  <c r="G196" i="7" s="1"/>
  <c r="G195" i="7" s="1"/>
  <c r="H198" i="7"/>
  <c r="H197" i="7" s="1"/>
  <c r="H196" i="7" s="1"/>
  <c r="H195" i="7" s="1"/>
  <c r="I198" i="7"/>
  <c r="I197" i="7" s="1"/>
  <c r="I196" i="7" s="1"/>
  <c r="I195" i="7" s="1"/>
  <c r="F96" i="7"/>
  <c r="G96" i="7"/>
  <c r="H96" i="7"/>
  <c r="I96" i="7"/>
  <c r="F92" i="7"/>
  <c r="G92" i="7"/>
  <c r="H92" i="7"/>
  <c r="I92" i="7"/>
  <c r="F187" i="7"/>
  <c r="G187" i="7"/>
  <c r="H187" i="7"/>
  <c r="I187" i="7"/>
  <c r="E187" i="7"/>
  <c r="E191" i="7"/>
  <c r="H191" i="7"/>
  <c r="G191" i="7"/>
  <c r="F191" i="7"/>
  <c r="F87" i="7"/>
  <c r="G87" i="7"/>
  <c r="H87" i="7"/>
  <c r="I87" i="7"/>
  <c r="F83" i="7"/>
  <c r="G83" i="7"/>
  <c r="H83" i="7"/>
  <c r="I83" i="7"/>
  <c r="F182" i="7"/>
  <c r="G182" i="7"/>
  <c r="H182" i="7"/>
  <c r="F178" i="7"/>
  <c r="G178" i="7"/>
  <c r="H178" i="7"/>
  <c r="I178" i="7"/>
  <c r="E182" i="7"/>
  <c r="E178" i="7"/>
  <c r="F168" i="7"/>
  <c r="G168" i="7"/>
  <c r="H168" i="7"/>
  <c r="F172" i="7"/>
  <c r="G172" i="7"/>
  <c r="H172" i="7"/>
  <c r="E172" i="7"/>
  <c r="E168" i="7"/>
  <c r="F159" i="7"/>
  <c r="G159" i="7"/>
  <c r="H159" i="7"/>
  <c r="I159" i="7"/>
  <c r="F163" i="7"/>
  <c r="G163" i="7"/>
  <c r="H163" i="7"/>
  <c r="E163" i="7"/>
  <c r="E159" i="7"/>
  <c r="F149" i="7"/>
  <c r="I149" i="7"/>
  <c r="F153" i="7"/>
  <c r="G153" i="7"/>
  <c r="G148" i="7" s="1"/>
  <c r="I172" i="7"/>
  <c r="I167" i="7" s="1"/>
  <c r="I166" i="7" s="1"/>
  <c r="I153" i="7"/>
  <c r="E149" i="7"/>
  <c r="E153" i="7"/>
  <c r="F140" i="7"/>
  <c r="I140" i="7"/>
  <c r="F144" i="7"/>
  <c r="G144" i="7"/>
  <c r="G139" i="7" s="1"/>
  <c r="H144" i="7"/>
  <c r="H139" i="7" s="1"/>
  <c r="I144" i="7"/>
  <c r="E144" i="7"/>
  <c r="E140" i="7"/>
  <c r="F121" i="7"/>
  <c r="H121" i="7"/>
  <c r="I121" i="7"/>
  <c r="F125" i="7"/>
  <c r="G125" i="7"/>
  <c r="H125" i="7"/>
  <c r="I125" i="7"/>
  <c r="E125" i="7"/>
  <c r="E121" i="7"/>
  <c r="F134" i="7"/>
  <c r="G134" i="7"/>
  <c r="H134" i="7"/>
  <c r="I134" i="7"/>
  <c r="F130" i="7"/>
  <c r="G130" i="7"/>
  <c r="H130" i="7"/>
  <c r="I130" i="7"/>
  <c r="E134" i="7"/>
  <c r="E130" i="7"/>
  <c r="F395" i="7" l="1"/>
  <c r="G203" i="7"/>
  <c r="G202" i="7" s="1"/>
  <c r="G201" i="7" s="1"/>
  <c r="G401" i="7"/>
  <c r="G395" i="7"/>
  <c r="F203" i="7"/>
  <c r="F202" i="7" s="1"/>
  <c r="F201" i="7" s="1"/>
  <c r="F401" i="7"/>
  <c r="F339" i="7"/>
  <c r="F334" i="7" s="1"/>
  <c r="F63" i="3"/>
  <c r="I44" i="3"/>
  <c r="H242" i="7"/>
  <c r="H63" i="3"/>
  <c r="I242" i="7"/>
  <c r="I63" i="3"/>
  <c r="F276" i="7"/>
  <c r="F275" i="7" s="1"/>
  <c r="F409" i="7" s="1"/>
  <c r="F43" i="3"/>
  <c r="N37" i="3" s="1"/>
  <c r="F50" i="3"/>
  <c r="F44" i="3"/>
  <c r="G242" i="7"/>
  <c r="G63" i="3"/>
  <c r="F315" i="7"/>
  <c r="F314" i="7" s="1"/>
  <c r="F411" i="7" s="1"/>
  <c r="F46" i="3"/>
  <c r="F41" i="3"/>
  <c r="F249" i="7"/>
  <c r="F248" i="7" s="1"/>
  <c r="H44" i="3"/>
  <c r="H203" i="7"/>
  <c r="H202" i="7" s="1"/>
  <c r="H201" i="7" s="1"/>
  <c r="H194" i="7" s="1"/>
  <c r="I276" i="7"/>
  <c r="I275" i="7" s="1"/>
  <c r="I409" i="7" s="1"/>
  <c r="I43" i="3"/>
  <c r="G44" i="3"/>
  <c r="H276" i="7"/>
  <c r="H275" i="7" s="1"/>
  <c r="H409" i="7" s="1"/>
  <c r="H43" i="3"/>
  <c r="I41" i="3"/>
  <c r="G276" i="7"/>
  <c r="G275" i="7" s="1"/>
  <c r="G409" i="7" s="1"/>
  <c r="G43" i="3"/>
  <c r="I203" i="7"/>
  <c r="I202" i="7" s="1"/>
  <c r="I201" i="7" s="1"/>
  <c r="I194" i="7" s="1"/>
  <c r="H41" i="3"/>
  <c r="I356" i="7"/>
  <c r="I347" i="7" s="1"/>
  <c r="H356" i="7"/>
  <c r="H347" i="7" s="1"/>
  <c r="G286" i="7"/>
  <c r="G285" i="7" s="1"/>
  <c r="I286" i="7"/>
  <c r="I285" i="7" s="1"/>
  <c r="I410" i="7" s="1"/>
  <c r="H91" i="7"/>
  <c r="H90" i="7" s="1"/>
  <c r="F286" i="7"/>
  <c r="F285" i="7" s="1"/>
  <c r="H224" i="7"/>
  <c r="C11" i="5"/>
  <c r="C10" i="5" s="1"/>
  <c r="G91" i="7"/>
  <c r="G90" i="7" s="1"/>
  <c r="G224" i="7"/>
  <c r="I224" i="7"/>
  <c r="H167" i="7"/>
  <c r="H166" i="7" s="1"/>
  <c r="G334" i="7"/>
  <c r="H334" i="7"/>
  <c r="H370" i="7"/>
  <c r="H365" i="7" s="1"/>
  <c r="H320" i="7"/>
  <c r="H319" i="7" s="1"/>
  <c r="H318" i="7" s="1"/>
  <c r="E334" i="7"/>
  <c r="F347" i="7"/>
  <c r="G370" i="7"/>
  <c r="E167" i="7"/>
  <c r="E166" i="7" s="1"/>
  <c r="I320" i="7"/>
  <c r="I319" i="7" s="1"/>
  <c r="I318" i="7" s="1"/>
  <c r="I334" i="7"/>
  <c r="I158" i="7"/>
  <c r="I157" i="7" s="1"/>
  <c r="H286" i="7"/>
  <c r="H285" i="7" s="1"/>
  <c r="H410" i="7" s="1"/>
  <c r="G365" i="7"/>
  <c r="F177" i="7"/>
  <c r="F176" i="7" s="1"/>
  <c r="F224" i="7"/>
  <c r="F223" i="7" s="1"/>
  <c r="G320" i="7"/>
  <c r="G319" i="7" s="1"/>
  <c r="G318" i="7" s="1"/>
  <c r="G347" i="7"/>
  <c r="I139" i="7"/>
  <c r="I138" i="7" s="1"/>
  <c r="H186" i="7"/>
  <c r="H185" i="7" s="1"/>
  <c r="I186" i="7"/>
  <c r="I185" i="7" s="1"/>
  <c r="F370" i="7"/>
  <c r="F365" i="7" s="1"/>
  <c r="I370" i="7"/>
  <c r="I365" i="7" s="1"/>
  <c r="F320" i="7"/>
  <c r="F319" i="7" s="1"/>
  <c r="F318" i="7" s="1"/>
  <c r="H147" i="7"/>
  <c r="H158" i="7"/>
  <c r="H157" i="7" s="1"/>
  <c r="G167" i="7"/>
  <c r="G166" i="7" s="1"/>
  <c r="E177" i="7"/>
  <c r="E176" i="7" s="1"/>
  <c r="G82" i="7"/>
  <c r="G81" i="7" s="1"/>
  <c r="H138" i="7"/>
  <c r="F148" i="7"/>
  <c r="F147" i="7" s="1"/>
  <c r="I120" i="7"/>
  <c r="I119" i="7" s="1"/>
  <c r="G138" i="7"/>
  <c r="E158" i="7"/>
  <c r="E157" i="7" s="1"/>
  <c r="F186" i="7"/>
  <c r="F185" i="7" s="1"/>
  <c r="F167" i="7"/>
  <c r="F166" i="7" s="1"/>
  <c r="H82" i="7"/>
  <c r="H81" i="7" s="1"/>
  <c r="E186" i="7"/>
  <c r="E185" i="7" s="1"/>
  <c r="I249" i="7"/>
  <c r="I248" i="7" s="1"/>
  <c r="E249" i="7"/>
  <c r="E248" i="7" s="1"/>
  <c r="E408" i="7" s="1"/>
  <c r="G249" i="7"/>
  <c r="G248" i="7" s="1"/>
  <c r="H249" i="7"/>
  <c r="H248" i="7" s="1"/>
  <c r="F194" i="7"/>
  <c r="G194" i="7"/>
  <c r="F120" i="7"/>
  <c r="F119" i="7" s="1"/>
  <c r="G147" i="7"/>
  <c r="E120" i="7"/>
  <c r="E119" i="7" s="1"/>
  <c r="I177" i="7"/>
  <c r="I176" i="7" s="1"/>
  <c r="I82" i="7"/>
  <c r="I81" i="7" s="1"/>
  <c r="E129" i="7"/>
  <c r="E128" i="7" s="1"/>
  <c r="I129" i="7"/>
  <c r="I128" i="7" s="1"/>
  <c r="G120" i="7"/>
  <c r="G119" i="7" s="1"/>
  <c r="I148" i="7"/>
  <c r="I147" i="7" s="1"/>
  <c r="G158" i="7"/>
  <c r="G157" i="7" s="1"/>
  <c r="H177" i="7"/>
  <c r="H176" i="7" s="1"/>
  <c r="G186" i="7"/>
  <c r="G185" i="7" s="1"/>
  <c r="F158" i="7"/>
  <c r="F157" i="7" s="1"/>
  <c r="H120" i="7"/>
  <c r="H119" i="7" s="1"/>
  <c r="I91" i="7"/>
  <c r="I90" i="7" s="1"/>
  <c r="E139" i="7"/>
  <c r="E138" i="7" s="1"/>
  <c r="F139" i="7"/>
  <c r="F138" i="7" s="1"/>
  <c r="H129" i="7"/>
  <c r="H128" i="7" s="1"/>
  <c r="E148" i="7"/>
  <c r="E147" i="7" s="1"/>
  <c r="G129" i="7"/>
  <c r="G128" i="7" s="1"/>
  <c r="G177" i="7"/>
  <c r="G176" i="7" s="1"/>
  <c r="F91" i="7"/>
  <c r="F90" i="7" s="1"/>
  <c r="F82" i="7"/>
  <c r="F81" i="7" s="1"/>
  <c r="F129" i="7"/>
  <c r="F128" i="7" s="1"/>
  <c r="F115" i="7"/>
  <c r="F40" i="3" s="1"/>
  <c r="G115" i="7"/>
  <c r="G40" i="3" s="1"/>
  <c r="H115" i="7"/>
  <c r="H40" i="3" s="1"/>
  <c r="I115" i="7"/>
  <c r="I40" i="3" s="1"/>
  <c r="F111" i="7"/>
  <c r="F35" i="3" s="1"/>
  <c r="G111" i="7"/>
  <c r="G35" i="3" s="1"/>
  <c r="H111" i="7"/>
  <c r="H35" i="3" s="1"/>
  <c r="I111" i="7"/>
  <c r="I35" i="3" s="1"/>
  <c r="F106" i="7"/>
  <c r="G106" i="7"/>
  <c r="H106" i="7"/>
  <c r="I106" i="7"/>
  <c r="F76" i="7"/>
  <c r="G76" i="7"/>
  <c r="G75" i="7" s="1"/>
  <c r="H76" i="7"/>
  <c r="H75" i="7" s="1"/>
  <c r="I76" i="7"/>
  <c r="I75" i="7" s="1"/>
  <c r="F102" i="7"/>
  <c r="F34" i="3" s="1"/>
  <c r="G102" i="7"/>
  <c r="H102" i="7"/>
  <c r="H395" i="7" s="1"/>
  <c r="I102" i="7"/>
  <c r="I34" i="3" s="1"/>
  <c r="F72" i="7"/>
  <c r="F71" i="7" s="1"/>
  <c r="F70" i="7" s="1"/>
  <c r="G72" i="7"/>
  <c r="G71" i="7" s="1"/>
  <c r="H72" i="7"/>
  <c r="H71" i="7" s="1"/>
  <c r="I72" i="7"/>
  <c r="I71" i="7" s="1"/>
  <c r="F67" i="7"/>
  <c r="F66" i="7" s="1"/>
  <c r="F65" i="7" s="1"/>
  <c r="F64" i="7" s="1"/>
  <c r="G67" i="7"/>
  <c r="G66" i="7" s="1"/>
  <c r="G65" i="7" s="1"/>
  <c r="G64" i="7" s="1"/>
  <c r="H67" i="7"/>
  <c r="H66" i="7" s="1"/>
  <c r="H65" i="7" s="1"/>
  <c r="H64" i="7" s="1"/>
  <c r="I67" i="7"/>
  <c r="I66" i="7" s="1"/>
  <c r="I65" i="7" s="1"/>
  <c r="I64" i="7" s="1"/>
  <c r="F58" i="7"/>
  <c r="G58" i="7"/>
  <c r="H58" i="7"/>
  <c r="I58" i="7"/>
  <c r="F47" i="7"/>
  <c r="F46" i="7" s="1"/>
  <c r="F45" i="7" s="1"/>
  <c r="F44" i="7" s="1"/>
  <c r="G47" i="7"/>
  <c r="G46" i="7" s="1"/>
  <c r="G45" i="7" s="1"/>
  <c r="H47" i="7"/>
  <c r="H46" i="7" s="1"/>
  <c r="H45" i="7" s="1"/>
  <c r="I47" i="7"/>
  <c r="I46" i="7" s="1"/>
  <c r="I45" i="7" s="1"/>
  <c r="F42" i="7"/>
  <c r="F397" i="7" s="1"/>
  <c r="G42" i="7"/>
  <c r="H42" i="7"/>
  <c r="H397" i="7" s="1"/>
  <c r="I42" i="7"/>
  <c r="I397" i="7" s="1"/>
  <c r="F22" i="7"/>
  <c r="G22" i="7"/>
  <c r="H22" i="7"/>
  <c r="H396" i="7" s="1"/>
  <c r="I22" i="7"/>
  <c r="I396" i="7" s="1"/>
  <c r="K396" i="7" s="1"/>
  <c r="F16" i="7"/>
  <c r="G16" i="7"/>
  <c r="H16" i="7"/>
  <c r="I16" i="7"/>
  <c r="F10" i="7"/>
  <c r="G10" i="7"/>
  <c r="H10" i="7"/>
  <c r="H398" i="7" s="1"/>
  <c r="I10" i="7"/>
  <c r="I398" i="7" s="1"/>
  <c r="E23" i="3"/>
  <c r="E24" i="3"/>
  <c r="E25" i="3"/>
  <c r="E22" i="3"/>
  <c r="E21" i="3" s="1"/>
  <c r="K21" i="3" s="1"/>
  <c r="E20" i="3"/>
  <c r="E13" i="3"/>
  <c r="E17" i="3"/>
  <c r="E16" i="3" s="1"/>
  <c r="E15" i="3"/>
  <c r="E19" i="3"/>
  <c r="E18" i="3" s="1"/>
  <c r="F66" i="3"/>
  <c r="G66" i="3"/>
  <c r="H66" i="3"/>
  <c r="I66" i="3"/>
  <c r="F64" i="3"/>
  <c r="G64" i="3"/>
  <c r="H64" i="3"/>
  <c r="I64" i="3"/>
  <c r="F68" i="3"/>
  <c r="F67" i="3" s="1"/>
  <c r="G68" i="3"/>
  <c r="G67" i="3" s="1"/>
  <c r="H68" i="3"/>
  <c r="H67" i="3" s="1"/>
  <c r="I68" i="3"/>
  <c r="I67" i="3" s="1"/>
  <c r="F52" i="3"/>
  <c r="G52" i="3"/>
  <c r="H52" i="3"/>
  <c r="I52" i="3"/>
  <c r="G50" i="3"/>
  <c r="H50" i="3"/>
  <c r="I50" i="3"/>
  <c r="G49" i="3"/>
  <c r="H49" i="3"/>
  <c r="I49" i="3"/>
  <c r="G46" i="3"/>
  <c r="H46" i="3"/>
  <c r="I46" i="3"/>
  <c r="F45" i="3"/>
  <c r="G45" i="3"/>
  <c r="H45" i="3"/>
  <c r="I45" i="3"/>
  <c r="G36" i="3"/>
  <c r="H36" i="3"/>
  <c r="I36" i="3"/>
  <c r="F410" i="7" l="1"/>
  <c r="F408" i="7"/>
  <c r="F42" i="3" s="1"/>
  <c r="F15" i="7"/>
  <c r="F14" i="7" s="1"/>
  <c r="F400" i="7"/>
  <c r="G408" i="7"/>
  <c r="G42" i="3" s="1"/>
  <c r="I223" i="7"/>
  <c r="I407" i="7" s="1"/>
  <c r="H406" i="7"/>
  <c r="G15" i="7"/>
  <c r="G14" i="7" s="1"/>
  <c r="G400" i="7"/>
  <c r="I408" i="7"/>
  <c r="I42" i="3" s="1"/>
  <c r="G410" i="7"/>
  <c r="H408" i="7"/>
  <c r="H42" i="3" s="1"/>
  <c r="G9" i="7"/>
  <c r="G8" i="7" s="1"/>
  <c r="G403" i="7" s="1"/>
  <c r="G398" i="7"/>
  <c r="I15" i="7"/>
  <c r="I14" i="7" s="1"/>
  <c r="I400" i="7"/>
  <c r="G396" i="7"/>
  <c r="G48" i="3"/>
  <c r="G397" i="7"/>
  <c r="F55" i="3"/>
  <c r="F398" i="7"/>
  <c r="F407" i="7"/>
  <c r="H15" i="7"/>
  <c r="H14" i="7" s="1"/>
  <c r="H400" i="7"/>
  <c r="H402" i="7" s="1"/>
  <c r="F396" i="7"/>
  <c r="F402" i="7" s="1"/>
  <c r="I395" i="7"/>
  <c r="I402" i="7" s="1"/>
  <c r="O34" i="3"/>
  <c r="H223" i="7"/>
  <c r="H407" i="7" s="1"/>
  <c r="H80" i="7"/>
  <c r="E156" i="7"/>
  <c r="O35" i="3"/>
  <c r="P35" i="3" s="1"/>
  <c r="F333" i="7"/>
  <c r="F39" i="3"/>
  <c r="F57" i="7"/>
  <c r="F38" i="3"/>
  <c r="G223" i="7"/>
  <c r="G156" i="7"/>
  <c r="I175" i="7"/>
  <c r="F48" i="3"/>
  <c r="F47" i="3" s="1"/>
  <c r="G39" i="3"/>
  <c r="G57" i="7"/>
  <c r="G55" i="7" s="1"/>
  <c r="D17" i="5" s="1"/>
  <c r="D16" i="5" s="1"/>
  <c r="G38" i="3"/>
  <c r="I48" i="3"/>
  <c r="H48" i="3"/>
  <c r="G118" i="7"/>
  <c r="F175" i="7"/>
  <c r="G80" i="7"/>
  <c r="I333" i="7"/>
  <c r="I39" i="3"/>
  <c r="I57" i="7"/>
  <c r="I55" i="7" s="1"/>
  <c r="F17" i="5" s="1"/>
  <c r="F16" i="5" s="1"/>
  <c r="I38" i="3"/>
  <c r="H39" i="3"/>
  <c r="H57" i="7"/>
  <c r="H55" i="7" s="1"/>
  <c r="E17" i="5" s="1"/>
  <c r="E16" i="5" s="1"/>
  <c r="H38" i="3"/>
  <c r="I55" i="3"/>
  <c r="H55" i="3"/>
  <c r="G7" i="7"/>
  <c r="G6" i="7" s="1"/>
  <c r="I44" i="7"/>
  <c r="I70" i="7"/>
  <c r="H44" i="7"/>
  <c r="H70" i="7"/>
  <c r="G44" i="7"/>
  <c r="G70" i="7"/>
  <c r="H333" i="7"/>
  <c r="I80" i="7"/>
  <c r="H137" i="7"/>
  <c r="F156" i="7"/>
  <c r="F55" i="7"/>
  <c r="F56" i="7"/>
  <c r="H222" i="7"/>
  <c r="H221" i="7" s="1"/>
  <c r="G137" i="7"/>
  <c r="G333" i="7"/>
  <c r="H118" i="7"/>
  <c r="H156" i="7"/>
  <c r="I137" i="7"/>
  <c r="I118" i="7"/>
  <c r="F222" i="7"/>
  <c r="F221" i="7" s="1"/>
  <c r="I156" i="7"/>
  <c r="E175" i="7"/>
  <c r="E118" i="7"/>
  <c r="I222" i="7"/>
  <c r="H175" i="7"/>
  <c r="F61" i="3"/>
  <c r="F60" i="3" s="1"/>
  <c r="F59" i="3" s="1"/>
  <c r="G175" i="7"/>
  <c r="F137" i="7"/>
  <c r="G61" i="3"/>
  <c r="G60" i="3" s="1"/>
  <c r="G59" i="3" s="1"/>
  <c r="F110" i="7"/>
  <c r="F109" i="7" s="1"/>
  <c r="F406" i="7" s="1"/>
  <c r="F118" i="7"/>
  <c r="F80" i="7"/>
  <c r="G21" i="7"/>
  <c r="G20" i="7" s="1"/>
  <c r="E137" i="7"/>
  <c r="H101" i="7"/>
  <c r="H100" i="7" s="1"/>
  <c r="G101" i="7"/>
  <c r="G100" i="7" s="1"/>
  <c r="I101" i="7"/>
  <c r="I100" i="7" s="1"/>
  <c r="G55" i="3"/>
  <c r="H61" i="3"/>
  <c r="H60" i="3" s="1"/>
  <c r="H59" i="3" s="1"/>
  <c r="H110" i="7"/>
  <c r="H109" i="7" s="1"/>
  <c r="H34" i="3"/>
  <c r="H33" i="3" s="1"/>
  <c r="G34" i="3"/>
  <c r="G33" i="3" s="1"/>
  <c r="H9" i="7"/>
  <c r="H8" i="7" s="1"/>
  <c r="H403" i="7" s="1"/>
  <c r="I61" i="3"/>
  <c r="I60" i="3" s="1"/>
  <c r="I59" i="3" s="1"/>
  <c r="G47" i="3"/>
  <c r="F101" i="7"/>
  <c r="F100" i="7" s="1"/>
  <c r="H47" i="3"/>
  <c r="F9" i="7"/>
  <c r="F8" i="7" s="1"/>
  <c r="F403" i="7" s="1"/>
  <c r="I21" i="7"/>
  <c r="I20" i="7" s="1"/>
  <c r="H21" i="7"/>
  <c r="H20" i="7" s="1"/>
  <c r="I110" i="7"/>
  <c r="I109" i="7" s="1"/>
  <c r="I406" i="7" s="1"/>
  <c r="I9" i="7"/>
  <c r="I8" i="7" s="1"/>
  <c r="I403" i="7" s="1"/>
  <c r="G110" i="7"/>
  <c r="G109" i="7" s="1"/>
  <c r="G406" i="7" s="1"/>
  <c r="F33" i="3"/>
  <c r="I33" i="3"/>
  <c r="F75" i="7"/>
  <c r="F21" i="7"/>
  <c r="F20" i="7" s="1"/>
  <c r="F404" i="7" s="1"/>
  <c r="I47" i="3"/>
  <c r="E17" i="7"/>
  <c r="E16" i="7" s="1"/>
  <c r="E11" i="7"/>
  <c r="E10" i="7" s="1"/>
  <c r="E398" i="7" s="1"/>
  <c r="E377" i="7"/>
  <c r="E376" i="7" s="1"/>
  <c r="E375" i="7" s="1"/>
  <c r="E373" i="7"/>
  <c r="E372" i="7" s="1"/>
  <c r="E371" i="7" s="1"/>
  <c r="E358" i="7"/>
  <c r="E357" i="7" s="1"/>
  <c r="E356" i="7" s="1"/>
  <c r="E353" i="7"/>
  <c r="E351" i="7"/>
  <c r="E350" i="7"/>
  <c r="E346" i="7"/>
  <c r="E345" i="7"/>
  <c r="E332" i="7"/>
  <c r="E331" i="7" s="1"/>
  <c r="E330" i="7"/>
  <c r="E329" i="7"/>
  <c r="E328" i="7"/>
  <c r="E327" i="7"/>
  <c r="E325" i="7"/>
  <c r="E324" i="7"/>
  <c r="E323" i="7"/>
  <c r="E322" i="7"/>
  <c r="E317" i="7"/>
  <c r="E316" i="7" s="1"/>
  <c r="E315" i="7" s="1"/>
  <c r="E314" i="7" s="1"/>
  <c r="E411" i="7" s="1"/>
  <c r="E313" i="7"/>
  <c r="E312" i="7"/>
  <c r="E311" i="7"/>
  <c r="E307" i="7"/>
  <c r="E306" i="7"/>
  <c r="E303" i="7"/>
  <c r="E296" i="7"/>
  <c r="E295" i="7"/>
  <c r="E293" i="7"/>
  <c r="E291" i="7"/>
  <c r="E289" i="7"/>
  <c r="E288" i="7"/>
  <c r="E284" i="7"/>
  <c r="E283" i="7" s="1"/>
  <c r="E281" i="7"/>
  <c r="E280" i="7"/>
  <c r="E278" i="7"/>
  <c r="E247" i="7"/>
  <c r="E246" i="7"/>
  <c r="E244" i="7"/>
  <c r="E241" i="7"/>
  <c r="E240" i="7"/>
  <c r="E238" i="7"/>
  <c r="E237" i="7"/>
  <c r="E235" i="7"/>
  <c r="E234" i="7"/>
  <c r="E233" i="7"/>
  <c r="E232" i="7"/>
  <c r="E231" i="7"/>
  <c r="E229" i="7"/>
  <c r="E226" i="7"/>
  <c r="E43" i="7"/>
  <c r="E42" i="7" s="1"/>
  <c r="E27" i="7"/>
  <c r="E216" i="7"/>
  <c r="E215" i="7" s="1"/>
  <c r="E214" i="7" s="1"/>
  <c r="E213" i="7" s="1"/>
  <c r="E212" i="7" s="1"/>
  <c r="E211" i="7" s="1"/>
  <c r="E210" i="7"/>
  <c r="E209" i="7" s="1"/>
  <c r="E208" i="7" s="1"/>
  <c r="E207" i="7" s="1"/>
  <c r="E206" i="7" s="1"/>
  <c r="E205" i="7"/>
  <c r="E204" i="7" s="1"/>
  <c r="E401" i="7" s="1"/>
  <c r="E200" i="7"/>
  <c r="E199" i="7"/>
  <c r="E98" i="7"/>
  <c r="E97" i="7"/>
  <c r="E95" i="7"/>
  <c r="E94" i="7"/>
  <c r="E93" i="7"/>
  <c r="E89" i="7"/>
  <c r="E88" i="7"/>
  <c r="E86" i="7"/>
  <c r="E85" i="7"/>
  <c r="E84" i="7"/>
  <c r="E117" i="7"/>
  <c r="E116" i="7"/>
  <c r="E114" i="7"/>
  <c r="E113" i="7"/>
  <c r="E112" i="7"/>
  <c r="E108" i="7"/>
  <c r="E107" i="7"/>
  <c r="E105" i="7"/>
  <c r="E104" i="7"/>
  <c r="E103" i="7"/>
  <c r="E77" i="7"/>
  <c r="E76" i="7" s="1"/>
  <c r="E75" i="7" s="1"/>
  <c r="E74" i="7"/>
  <c r="E73" i="7" s="1"/>
  <c r="E72" i="7" s="1"/>
  <c r="E71" i="7" s="1"/>
  <c r="E70" i="7" s="1"/>
  <c r="E69" i="7"/>
  <c r="E68" i="7"/>
  <c r="E63" i="7"/>
  <c r="E58" i="7" s="1"/>
  <c r="E30" i="7"/>
  <c r="E49" i="7"/>
  <c r="E48" i="7"/>
  <c r="E41" i="7"/>
  <c r="E39" i="7"/>
  <c r="E38" i="7"/>
  <c r="E37" i="7"/>
  <c r="E36" i="7"/>
  <c r="E35" i="7"/>
  <c r="E34" i="7"/>
  <c r="E33" i="7"/>
  <c r="E32" i="7"/>
  <c r="E29" i="7"/>
  <c r="E28" i="7"/>
  <c r="E26" i="7"/>
  <c r="E24" i="7"/>
  <c r="E23" i="7"/>
  <c r="G402" i="7" l="1"/>
  <c r="H19" i="7"/>
  <c r="H404" i="7"/>
  <c r="G13" i="7"/>
  <c r="G12" i="7" s="1"/>
  <c r="G405" i="7"/>
  <c r="F15" i="5"/>
  <c r="F14" i="5" s="1"/>
  <c r="I13" i="7"/>
  <c r="I12" i="7" s="1"/>
  <c r="F13" i="7"/>
  <c r="F12" i="7" s="1"/>
  <c r="F405" i="7"/>
  <c r="F415" i="7" s="1"/>
  <c r="G222" i="7"/>
  <c r="G407" i="7"/>
  <c r="E397" i="7"/>
  <c r="I19" i="7"/>
  <c r="I404" i="7"/>
  <c r="E400" i="7"/>
  <c r="D15" i="5"/>
  <c r="D14" i="5" s="1"/>
  <c r="H13" i="7"/>
  <c r="H12" i="7" s="1"/>
  <c r="G19" i="7"/>
  <c r="G18" i="7" s="1"/>
  <c r="G404" i="7"/>
  <c r="H18" i="7"/>
  <c r="F99" i="7"/>
  <c r="G221" i="7"/>
  <c r="O33" i="3"/>
  <c r="N32" i="3"/>
  <c r="I37" i="3"/>
  <c r="H56" i="7"/>
  <c r="H405" i="7" s="1"/>
  <c r="G56" i="7"/>
  <c r="H37" i="3"/>
  <c r="I56" i="7"/>
  <c r="I405" i="7" s="1"/>
  <c r="I221" i="7"/>
  <c r="I18" i="7"/>
  <c r="I7" i="7"/>
  <c r="I6" i="7" s="1"/>
  <c r="H7" i="7"/>
  <c r="H6" i="7" s="1"/>
  <c r="E22" i="7"/>
  <c r="E396" i="7" s="1"/>
  <c r="G99" i="7"/>
  <c r="G54" i="7" s="1"/>
  <c r="K54" i="7" s="1"/>
  <c r="I99" i="7"/>
  <c r="I54" i="7" s="1"/>
  <c r="F54" i="7"/>
  <c r="H99" i="7"/>
  <c r="E349" i="7"/>
  <c r="E348" i="7" s="1"/>
  <c r="E347" i="7" s="1"/>
  <c r="E115" i="7"/>
  <c r="E198" i="7"/>
  <c r="E197" i="7" s="1"/>
  <c r="E196" i="7" s="1"/>
  <c r="E195" i="7" s="1"/>
  <c r="E287" i="7"/>
  <c r="E286" i="7" s="1"/>
  <c r="E326" i="7"/>
  <c r="E277" i="7"/>
  <c r="E276" i="7" s="1"/>
  <c r="E321" i="7"/>
  <c r="E310" i="7"/>
  <c r="E309" i="7" s="1"/>
  <c r="F7" i="7"/>
  <c r="F6" i="7" s="1"/>
  <c r="E243" i="7"/>
  <c r="E63" i="3" s="1"/>
  <c r="E282" i="7"/>
  <c r="E64" i="3"/>
  <c r="E106" i="7"/>
  <c r="E344" i="7"/>
  <c r="E343" i="7" s="1"/>
  <c r="E342" i="7" s="1"/>
  <c r="F19" i="7"/>
  <c r="F18" i="7" s="1"/>
  <c r="E57" i="7"/>
  <c r="E56" i="7" s="1"/>
  <c r="E55" i="3"/>
  <c r="E9" i="7"/>
  <c r="E8" i="7" s="1"/>
  <c r="E403" i="7" s="1"/>
  <c r="E15" i="7"/>
  <c r="E14" i="7" s="1"/>
  <c r="E203" i="7"/>
  <c r="E202" i="7" s="1"/>
  <c r="E201" i="7" s="1"/>
  <c r="E68" i="3"/>
  <c r="E67" i="3" s="1"/>
  <c r="E370" i="7"/>
  <c r="E365" i="7" s="1"/>
  <c r="E96" i="7"/>
  <c r="E67" i="7"/>
  <c r="E66" i="7" s="1"/>
  <c r="E65" i="7" s="1"/>
  <c r="E64" i="7" s="1"/>
  <c r="E239" i="7"/>
  <c r="E49" i="3" s="1"/>
  <c r="E83" i="7"/>
  <c r="E395" i="7" s="1"/>
  <c r="E402" i="7" s="1"/>
  <c r="E225" i="7"/>
  <c r="E102" i="7"/>
  <c r="E111" i="7"/>
  <c r="E87" i="7"/>
  <c r="E47" i="7"/>
  <c r="E46" i="7" s="1"/>
  <c r="E45" i="7" s="1"/>
  <c r="E44" i="7" s="1"/>
  <c r="E92" i="7"/>
  <c r="F56" i="3"/>
  <c r="F54" i="3"/>
  <c r="G10" i="1"/>
  <c r="G20" i="1"/>
  <c r="H20" i="1"/>
  <c r="I20" i="1"/>
  <c r="J20" i="1"/>
  <c r="G19" i="1"/>
  <c r="H19" i="1"/>
  <c r="I19" i="1"/>
  <c r="J19" i="1"/>
  <c r="F20" i="1"/>
  <c r="F19" i="1"/>
  <c r="F8" i="6"/>
  <c r="G8" i="6"/>
  <c r="H8" i="6"/>
  <c r="I8" i="6"/>
  <c r="E8" i="6"/>
  <c r="I10" i="1"/>
  <c r="J10" i="1"/>
  <c r="G415" i="7" l="1"/>
  <c r="I415" i="7"/>
  <c r="H415" i="7"/>
  <c r="E405" i="7"/>
  <c r="E15" i="5"/>
  <c r="E14" i="5" s="1"/>
  <c r="E110" i="7"/>
  <c r="E109" i="7" s="1"/>
  <c r="H54" i="7"/>
  <c r="H4" i="7" s="1"/>
  <c r="E19" i="5"/>
  <c r="E18" i="5" s="1"/>
  <c r="D19" i="5"/>
  <c r="D18" i="5" s="1"/>
  <c r="F19" i="5"/>
  <c r="F18" i="5" s="1"/>
  <c r="I4" i="7"/>
  <c r="G4" i="7"/>
  <c r="E242" i="7"/>
  <c r="E55" i="7"/>
  <c r="B17" i="5" s="1"/>
  <c r="B16" i="5" s="1"/>
  <c r="F4" i="7"/>
  <c r="E194" i="7"/>
  <c r="E285" i="7"/>
  <c r="E410" i="7" s="1"/>
  <c r="E333" i="7"/>
  <c r="E61" i="3"/>
  <c r="E320" i="7"/>
  <c r="E319" i="7" s="1"/>
  <c r="E318" i="7" s="1"/>
  <c r="E275" i="7"/>
  <c r="E409" i="7" s="1"/>
  <c r="E224" i="7"/>
  <c r="E101" i="7"/>
  <c r="E100" i="7" s="1"/>
  <c r="E34" i="3"/>
  <c r="E13" i="7"/>
  <c r="E7" i="7"/>
  <c r="E6" i="7" s="1"/>
  <c r="E82" i="7"/>
  <c r="E81" i="7" s="1"/>
  <c r="E91" i="7"/>
  <c r="E90" i="7" s="1"/>
  <c r="E406" i="7" s="1"/>
  <c r="E21" i="7"/>
  <c r="E20" i="7" s="1"/>
  <c r="E404" i="7" s="1"/>
  <c r="E39" i="3"/>
  <c r="F10" i="1"/>
  <c r="E45" i="3"/>
  <c r="E99" i="7" l="1"/>
  <c r="F13" i="5"/>
  <c r="F12" i="5" s="1"/>
  <c r="F11" i="5" s="1"/>
  <c r="F10" i="5" s="1"/>
  <c r="E13" i="5"/>
  <c r="E12" i="5" s="1"/>
  <c r="E11" i="5" s="1"/>
  <c r="E10" i="5" s="1"/>
  <c r="D13" i="5"/>
  <c r="D12" i="5" s="1"/>
  <c r="D11" i="5" s="1"/>
  <c r="D10" i="5" s="1"/>
  <c r="E12" i="7"/>
  <c r="B15" i="5"/>
  <c r="B14" i="5" s="1"/>
  <c r="E223" i="7"/>
  <c r="E80" i="7"/>
  <c r="K67" i="3"/>
  <c r="E19" i="7"/>
  <c r="E18" i="7" s="1"/>
  <c r="H14" i="3"/>
  <c r="I14" i="3"/>
  <c r="E14" i="3"/>
  <c r="F14" i="3"/>
  <c r="E222" i="7" l="1"/>
  <c r="E221" i="7" s="1"/>
  <c r="E407" i="7"/>
  <c r="E415" i="7" s="1"/>
  <c r="E54" i="7"/>
  <c r="B19" i="5"/>
  <c r="B18" i="5" s="1"/>
  <c r="E4" i="7" l="1"/>
  <c r="B13" i="5" s="1"/>
  <c r="B12" i="5" s="1"/>
  <c r="B11" i="5" s="1"/>
  <c r="B10" i="5" s="1"/>
  <c r="E46" i="3"/>
  <c r="E50" i="3"/>
  <c r="E56" i="3" l="1"/>
  <c r="E52" i="3"/>
  <c r="F17" i="3"/>
  <c r="F16" i="3" s="1"/>
  <c r="H58" i="3"/>
  <c r="H56" i="3" s="1"/>
  <c r="I58" i="3"/>
  <c r="I56" i="3" s="1"/>
  <c r="E54" i="3"/>
  <c r="E66" i="3"/>
  <c r="E60" i="3" s="1"/>
  <c r="E36" i="3"/>
  <c r="N61" i="3" l="1"/>
  <c r="E59" i="3"/>
  <c r="E43" i="3"/>
  <c r="E44" i="3"/>
  <c r="N38" i="3" s="1"/>
  <c r="G58" i="3"/>
  <c r="G56" i="3" s="1"/>
  <c r="G54" i="3"/>
  <c r="F20" i="3"/>
  <c r="F13" i="3"/>
  <c r="F12" i="3" s="1"/>
  <c r="I54" i="3"/>
  <c r="I32" i="3" s="1"/>
  <c r="H54" i="3"/>
  <c r="E41" i="3"/>
  <c r="N35" i="3" l="1"/>
  <c r="G13" i="1"/>
  <c r="K60" i="3"/>
  <c r="E40" i="3"/>
  <c r="E48" i="3" l="1"/>
  <c r="E12" i="3"/>
  <c r="E11" i="3" s="1"/>
  <c r="F37" i="3"/>
  <c r="F32" i="3" s="1"/>
  <c r="F31" i="3" s="1"/>
  <c r="F18" i="3"/>
  <c r="J29" i="3" l="1"/>
  <c r="K28" i="3"/>
  <c r="E47" i="3"/>
  <c r="F13" i="1"/>
  <c r="E35" i="3"/>
  <c r="I25" i="3"/>
  <c r="F22" i="3"/>
  <c r="H25" i="3"/>
  <c r="F23" i="3"/>
  <c r="F25" i="3"/>
  <c r="I24" i="3"/>
  <c r="H24" i="3"/>
  <c r="E33" i="3" l="1"/>
  <c r="N34" i="3"/>
  <c r="G12" i="1"/>
  <c r="G11" i="1" s="1"/>
  <c r="F21" i="3"/>
  <c r="H10" i="1"/>
  <c r="G14" i="3"/>
  <c r="F11" i="3" l="1"/>
  <c r="I23" i="3"/>
  <c r="H17" i="3"/>
  <c r="H16" i="3" s="1"/>
  <c r="H23" i="3"/>
  <c r="I17" i="3"/>
  <c r="I16" i="3" s="1"/>
  <c r="I13" i="3"/>
  <c r="I12" i="3" s="1"/>
  <c r="H19" i="3"/>
  <c r="I19" i="3"/>
  <c r="I13" i="1" l="1"/>
  <c r="J13" i="1"/>
  <c r="F10" i="3"/>
  <c r="H32" i="3"/>
  <c r="H31" i="3" s="1"/>
  <c r="G9" i="1"/>
  <c r="I20" i="3"/>
  <c r="I18" i="3" s="1"/>
  <c r="H13" i="3"/>
  <c r="H12" i="3" s="1"/>
  <c r="H20" i="3"/>
  <c r="H18" i="3" s="1"/>
  <c r="G8" i="1" l="1"/>
  <c r="G14" i="1" s="1"/>
  <c r="I31" i="3"/>
  <c r="I12" i="1"/>
  <c r="I11" i="1" s="1"/>
  <c r="E10" i="3"/>
  <c r="E8" i="3" s="1"/>
  <c r="F9" i="1"/>
  <c r="F8" i="1" s="1"/>
  <c r="I22" i="3"/>
  <c r="I21" i="3" s="1"/>
  <c r="I11" i="3" s="1"/>
  <c r="H22" i="3"/>
  <c r="H21" i="3" s="1"/>
  <c r="H11" i="3" s="1"/>
  <c r="J12" i="1" l="1"/>
  <c r="J11" i="1" s="1"/>
  <c r="I10" i="3"/>
  <c r="J9" i="1"/>
  <c r="J8" i="1" s="1"/>
  <c r="H10" i="3"/>
  <c r="I9" i="1"/>
  <c r="I8" i="1" s="1"/>
  <c r="I14" i="1" s="1"/>
  <c r="J14" i="1" l="1"/>
  <c r="G19" i="3" l="1"/>
  <c r="G20" i="3" l="1"/>
  <c r="G18" i="3" s="1"/>
  <c r="G23" i="3"/>
  <c r="O12" i="3"/>
  <c r="H13" i="1" l="1"/>
  <c r="G25" i="3"/>
  <c r="G13" i="3"/>
  <c r="G12" i="3" s="1"/>
  <c r="G24" i="3"/>
  <c r="G22" i="3" l="1"/>
  <c r="G21" i="3" s="1"/>
  <c r="G37" i="3"/>
  <c r="G32" i="3" l="1"/>
  <c r="G31" i="3" s="1"/>
  <c r="H12" i="1" l="1"/>
  <c r="H11" i="1" s="1"/>
  <c r="M11" i="3"/>
  <c r="G17" i="3"/>
  <c r="G16" i="3" s="1"/>
  <c r="G11" i="3" s="1"/>
  <c r="K11" i="3" l="1"/>
  <c r="O11" i="3" s="1"/>
  <c r="O15" i="3" s="1"/>
  <c r="H9" i="1"/>
  <c r="H8" i="1" s="1"/>
  <c r="H14" i="1" s="1"/>
  <c r="G10" i="3"/>
  <c r="K47" i="3" l="1"/>
  <c r="L47" i="3" s="1"/>
  <c r="K52" i="3"/>
  <c r="K56" i="3"/>
  <c r="L56" i="3" s="1"/>
  <c r="E38" i="3" l="1"/>
  <c r="N33" i="3" s="1"/>
  <c r="E37" i="3" l="1"/>
  <c r="E32" i="3" s="1"/>
  <c r="E31" i="3" l="1"/>
  <c r="F12" i="1"/>
  <c r="F11" i="1" s="1"/>
  <c r="F14" i="1" s="1"/>
  <c r="N30" i="3" l="1"/>
</calcChain>
</file>

<file path=xl/comments1.xml><?xml version="1.0" encoding="utf-8"?>
<comments xmlns="http://schemas.openxmlformats.org/spreadsheetml/2006/main">
  <authors>
    <author>Katarina</author>
  </authors>
  <commentList>
    <comment ref="F37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218273,21</t>
        </r>
      </text>
    </comment>
    <comment ref="F47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1420,13
</t>
        </r>
      </text>
    </comment>
    <comment ref="F60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6781,46</t>
        </r>
      </text>
    </comment>
  </commentList>
</comments>
</file>

<file path=xl/comments2.xml><?xml version="1.0" encoding="utf-8"?>
<comments xmlns="http://schemas.openxmlformats.org/spreadsheetml/2006/main">
  <authors>
    <author>Katarina</author>
  </authors>
  <commentList>
    <comment ref="F14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F 0970
</t>
        </r>
      </text>
    </comment>
    <comment ref="G18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Limit 2023: 357.223,90 kn ;   47.411,76 EUR
</t>
        </r>
      </text>
    </comment>
    <comment ref="F54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limit:267.973,10 kn ; 35.566,14 EUR
</t>
        </r>
      </text>
    </comment>
    <comment ref="G54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limit 61.197 EUR</t>
        </r>
      </text>
    </comment>
    <comment ref="F64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0980 F
</t>
        </r>
      </text>
    </comment>
    <comment ref="F71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0980 F</t>
        </r>
      </text>
    </comment>
    <comment ref="F75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F 0980
</t>
        </r>
      </text>
    </comment>
    <comment ref="F99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F 0980
</t>
        </r>
      </text>
    </comment>
    <comment ref="F221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fp 2022 VANŽUPANIJSKI: 8.217.086KN;  1.090.594,73 eur</t>
        </r>
      </text>
    </comment>
  </commentList>
</comments>
</file>

<file path=xl/sharedStrings.xml><?xml version="1.0" encoding="utf-8"?>
<sst xmlns="http://schemas.openxmlformats.org/spreadsheetml/2006/main" count="878" uniqueCount="273">
  <si>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</si>
  <si>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</si>
  <si>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</si>
  <si>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</si>
  <si>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</si>
  <si>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</si>
  <si>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</si>
  <si>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</si>
  <si>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</si>
  <si>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</si>
  <si>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</si>
  <si>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</si>
  <si>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</si>
  <si>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</si>
  <si>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</si>
  <si>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</si>
  <si>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</si>
  <si>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</si>
  <si>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</si>
  <si>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</si>
  <si>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</si>
  <si>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</si>
  <si>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</si>
  <si>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</si>
  <si>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</si>
  <si>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</si>
  <si>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</si>
  <si>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</si>
  <si>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</si>
  <si>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</si>
  <si>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</si>
  <si>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</si>
  <si>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</si>
  <si>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</si>
  <si>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</si>
  <si>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</si>
  <si>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</si>
  <si>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</si>
  <si>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</si>
  <si>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</si>
  <si>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</si>
  <si>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</si>
  <si>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</si>
  <si>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</si>
  <si>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</si>
  <si>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</si>
  <si>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</si>
  <si>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</si>
  <si>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</si>
  <si>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Pomoći iz inozemstva i od subjekata unutar općeg proračuna</t>
  </si>
  <si>
    <t>Ostali prihodi za posebne namjene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</si>
  <si>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</si>
  <si>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</si>
  <si>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</si>
  <si>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1.1.</t>
  </si>
  <si>
    <t>3.3.</t>
  </si>
  <si>
    <t>5.K.</t>
  </si>
  <si>
    <t>Kapitalni projekt K100128</t>
  </si>
  <si>
    <t>Izrada projektne dokumentacije za dogradnju škole i dvorane</t>
  </si>
  <si>
    <t>MINIMALNI STANDARD U OSNOVNOM ŠKOLSTVU- MATERIJALNI I FINANCIJSKI RASHODI-decentralizirana sredstva</t>
  </si>
  <si>
    <t>Aktivnost A100001</t>
  </si>
  <si>
    <t xml:space="preserve">Rashodi poslovanja </t>
  </si>
  <si>
    <t>Službena putovanja</t>
  </si>
  <si>
    <t>Stručno usavršavanje zaposlenika</t>
  </si>
  <si>
    <t>Uredski mater.i ost.mater.rashodi</t>
  </si>
  <si>
    <t>Energija</t>
  </si>
  <si>
    <t>Sitni inventar i auto-gume</t>
  </si>
  <si>
    <t>Služb.radna i zaštitna odjeća i obuća</t>
  </si>
  <si>
    <t>Usluge telefona,pošte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</si>
  <si>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</si>
  <si>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</si>
  <si>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</si>
  <si>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</si>
  <si>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</si>
  <si>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</si>
  <si>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</si>
  <si>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Reprezentacija</t>
  </si>
  <si>
    <t>Članarine</t>
  </si>
  <si>
    <t>Naknade i pristojbe</t>
  </si>
  <si>
    <t>Ostali nespomenuti rashodi poslovanja</t>
  </si>
  <si>
    <t>Bankarske usluge i usluge pl.prometa</t>
  </si>
  <si>
    <t>Aktivnost A100002</t>
  </si>
  <si>
    <t>Mater.i dijelovi za tekuće i invest.održ.</t>
  </si>
  <si>
    <t>Usluge tekućeg i invest.održavanja</t>
  </si>
  <si>
    <t>POJAČANI STANDARD U ŠKOLSTVU</t>
  </si>
  <si>
    <t>Tekući projekt T100003</t>
  </si>
  <si>
    <t>Naknade za rad predst.i izvršnih tijela</t>
  </si>
  <si>
    <t>Ostali nespomenuti rashodi</t>
  </si>
  <si>
    <t>Tekući projekt T100006</t>
  </si>
  <si>
    <t>Tekući projekt T100027</t>
  </si>
  <si>
    <t>Plaće za redovan rad</t>
  </si>
  <si>
    <t>Ostali rashodi za zaposlene</t>
  </si>
  <si>
    <t>Doprinosi za obvezno zdr.osiguranje</t>
  </si>
  <si>
    <t>Naknade za prijevoz, rad na terenu</t>
  </si>
  <si>
    <t>KAPITALNO ULAGANJE</t>
  </si>
  <si>
    <t>OPREMA ŠKOLA</t>
  </si>
  <si>
    <t xml:space="preserve">Tekući projekt T100002 </t>
  </si>
  <si>
    <t>TEKUĆE I INVESTICIJSKO ODRŽAVANJE U ŠKOLSTVU</t>
  </si>
  <si>
    <t>PROGRAMI OSNOVNIH ŠKOLA IZVAN ŽUPANIJSKOG PRORAČUNA</t>
  </si>
  <si>
    <t>Sitan inventar</t>
  </si>
  <si>
    <t>Usluge tekućeg i investicisjkog održavanja</t>
  </si>
  <si>
    <t>Premije osiguranja</t>
  </si>
  <si>
    <t>Financijski rashodi</t>
  </si>
  <si>
    <t>Bankarske usluge i usluge platbog promet</t>
  </si>
  <si>
    <t>Zatezne kamate</t>
  </si>
  <si>
    <t>Ostali rashodi</t>
  </si>
  <si>
    <t>Tekuće donacije</t>
  </si>
  <si>
    <t>Tekuće donacije u novcu</t>
  </si>
  <si>
    <t>Rashodi za nabavu proizvedene dugotrajne  imovine</t>
  </si>
  <si>
    <t>Uredska oprema i namještaj</t>
  </si>
  <si>
    <t>Oprema za održavanje i zaštitu</t>
  </si>
  <si>
    <t>Uređaji, strojevi i oprema za ost.namjene</t>
  </si>
  <si>
    <t>Knjige u knjižnicama</t>
  </si>
  <si>
    <t>Doprinosi za obv.osig.u slučaju nezaposlenosti</t>
  </si>
  <si>
    <t>Naknada za nezapošlj.invalida</t>
  </si>
  <si>
    <t>Troškovi sudskih postupaka</t>
  </si>
  <si>
    <t>Materijal i sirovine</t>
  </si>
  <si>
    <t>Uređaji, strojevi i oprema za ostale namjene</t>
  </si>
  <si>
    <t>Tekući projekt T100020</t>
  </si>
  <si>
    <t>Uredski mater.i ost.mater.ras.-udžben.</t>
  </si>
  <si>
    <t>Knjige i udžbenici</t>
  </si>
  <si>
    <t>Aktivnost A10001</t>
  </si>
  <si>
    <t>Izvor financiranja 4.1.</t>
  </si>
  <si>
    <t>Decentralizirana sredstva OŠ</t>
  </si>
  <si>
    <t>PROGRAM 1001</t>
  </si>
  <si>
    <t>Aktivnost A10002</t>
  </si>
  <si>
    <t>Tekuće i investicijsko održavanje</t>
  </si>
  <si>
    <t>Županijska stručna vijeća</t>
  </si>
  <si>
    <t>Izvor financiranja 1.1.</t>
  </si>
  <si>
    <t>Aktivnost A10003</t>
  </si>
  <si>
    <t>Natjecanja</t>
  </si>
  <si>
    <t>Ostale izvanškolske aktivnosti</t>
  </si>
  <si>
    <t>Tekući projekt T100054</t>
  </si>
  <si>
    <t>Prsten potpore V</t>
  </si>
  <si>
    <t>Minist. znanosti, obrazov. i sporta-ESF.</t>
  </si>
  <si>
    <t>E-tehničar</t>
  </si>
  <si>
    <t>Tekući projekt T100041</t>
  </si>
  <si>
    <t>Izvor financiranja 3.3.</t>
  </si>
  <si>
    <t>POTICANJE KORIŠTENJA SREDSTAVA IZ FONDOVA EU</t>
  </si>
  <si>
    <t>Tekući projekt T 100011</t>
  </si>
  <si>
    <t>Školska shema voća, povrća te mlijeka i mliječnih proizvoda</t>
  </si>
  <si>
    <t>Izvor financiranja 5.Đ.</t>
  </si>
  <si>
    <t>Ministarstvo poljoprivrede</t>
  </si>
  <si>
    <t>Naknade građanima i kućanstvima u naravi</t>
  </si>
  <si>
    <t>Izvor financiranja 3.7.</t>
  </si>
  <si>
    <t>Vlastiti prihodi-višak prihoda</t>
  </si>
  <si>
    <t>Izvor financiranja 4.L.</t>
  </si>
  <si>
    <t>Prihodi za posebne namjene</t>
  </si>
  <si>
    <t>Izvor financiranja 5.K.</t>
  </si>
  <si>
    <t>Pomoći</t>
  </si>
  <si>
    <t>Donacije</t>
  </si>
  <si>
    <t>Administrativno, tehničko i stručno osoblje</t>
  </si>
  <si>
    <t>Školska kuhinja</t>
  </si>
  <si>
    <t>Nabava udžbenika za učenike</t>
  </si>
  <si>
    <t>09 Obrazovanje</t>
  </si>
  <si>
    <t>091 Predškolsko i osnovno obrazovanje</t>
  </si>
  <si>
    <t>0912 Osnovno obrazovanje</t>
  </si>
  <si>
    <t>096 Dodatne usluge u obrazovanju</t>
  </si>
  <si>
    <t>0960 Dodatne usluge u obrazovanju</t>
  </si>
  <si>
    <t>4.1.</t>
  </si>
  <si>
    <t>Decentralizirana sredstva</t>
  </si>
  <si>
    <t>MZO</t>
  </si>
  <si>
    <t>3.7.</t>
  </si>
  <si>
    <t>Višak prihoda (92)-'Vlastiti prihodi</t>
  </si>
  <si>
    <t>4.L.</t>
  </si>
  <si>
    <t>6.</t>
  </si>
  <si>
    <t>5.Đ</t>
  </si>
  <si>
    <t>Ministrastvo poljoprivrede</t>
  </si>
  <si>
    <t>Naknade kućanstvima</t>
  </si>
  <si>
    <t>Dugotrajna imovina</t>
  </si>
  <si>
    <t>Prihodi od imovine</t>
  </si>
  <si>
    <t>Prihodi od prodaje roba, proizvoda i usluga</t>
  </si>
  <si>
    <t>Prihodi od upravnih i administrativnih pristojbi</t>
  </si>
  <si>
    <t>Prihodi iz nadležnog proračuna i od HZZO</t>
  </si>
  <si>
    <t>5.Đ.</t>
  </si>
  <si>
    <t>UP</t>
  </si>
  <si>
    <t>UR</t>
  </si>
  <si>
    <t>UKUPNI PRIHODI:</t>
  </si>
  <si>
    <t>UKUPNI RASHODI:</t>
  </si>
  <si>
    <t>Višak prihoda-Pomoći</t>
  </si>
  <si>
    <t>Višak prihoda-'Pomoći</t>
  </si>
  <si>
    <t>3431</t>
  </si>
  <si>
    <t>3293</t>
  </si>
  <si>
    <t>3291</t>
  </si>
  <si>
    <t>3299</t>
  </si>
  <si>
    <t>3111</t>
  </si>
  <si>
    <t>3121</t>
  </si>
  <si>
    <t>3132</t>
  </si>
  <si>
    <t>3211</t>
  </si>
  <si>
    <t>3212</t>
  </si>
  <si>
    <t>3224</t>
  </si>
  <si>
    <t>3232</t>
  </si>
  <si>
    <t>3433</t>
  </si>
  <si>
    <t>4221</t>
  </si>
  <si>
    <t>4223</t>
  </si>
  <si>
    <t>4227</t>
  </si>
  <si>
    <t>4241</t>
  </si>
  <si>
    <t>3292</t>
  </si>
  <si>
    <t>Zdravstvene i veterinarske usluge (covid)</t>
  </si>
  <si>
    <t>3236</t>
  </si>
  <si>
    <t>3133</t>
  </si>
  <si>
    <t>3295</t>
  </si>
  <si>
    <t>3296</t>
  </si>
  <si>
    <t>3221</t>
  </si>
  <si>
    <t>3222</t>
  </si>
  <si>
    <t>3225</t>
  </si>
  <si>
    <t>Izvor financiranja 5.D.</t>
  </si>
  <si>
    <t xml:space="preserve">Zdravstvene i veterinarske usluge </t>
  </si>
  <si>
    <t>3214</t>
  </si>
  <si>
    <t>Ostale naknade troškova zaposlenima</t>
  </si>
  <si>
    <t>3227</t>
  </si>
  <si>
    <t>3237</t>
  </si>
  <si>
    <t>3233</t>
  </si>
  <si>
    <t>3722</t>
  </si>
  <si>
    <t>Usluge tekućeg i investicijskog održavanja</t>
  </si>
  <si>
    <t>Rashodi za nabavu proizvedene dugotrajne imovine</t>
  </si>
  <si>
    <t>4212</t>
  </si>
  <si>
    <t>Dodatna ulaganja na građevinskim objektima</t>
  </si>
  <si>
    <t>4511</t>
  </si>
  <si>
    <t>5.T.</t>
  </si>
  <si>
    <t>5.D.</t>
  </si>
  <si>
    <t>6.3.</t>
  </si>
  <si>
    <t>EUR</t>
  </si>
  <si>
    <t>Prsten potpore IV</t>
  </si>
  <si>
    <t>Tekući projekt T100047</t>
  </si>
  <si>
    <t>PROGRAM 1002</t>
  </si>
  <si>
    <t>Tekući projekt T00001</t>
  </si>
  <si>
    <t>Tekući projekt T00002</t>
  </si>
  <si>
    <t>PROGRAM 1003</t>
  </si>
  <si>
    <t>Aktivnost A 100001</t>
  </si>
  <si>
    <t>Tekuće i investicijsko održavanje u školstvu</t>
  </si>
  <si>
    <t>Dodatna ulaganja</t>
  </si>
  <si>
    <t>Izvor financiranja 6.3.</t>
  </si>
  <si>
    <t>Prsten potpore VI</t>
  </si>
  <si>
    <t>Tekući projekt T100055</t>
  </si>
  <si>
    <t>0980 Usluge u obrazovanju koje nisu drugdje svrstane</t>
  </si>
  <si>
    <t>Prsten potpore VII</t>
  </si>
  <si>
    <t>ukupno EUR:</t>
  </si>
  <si>
    <t>VIŠAK 3.7. i 5.D.</t>
  </si>
  <si>
    <t>UKUPNO KLASA:</t>
  </si>
  <si>
    <t>UKUPNO IZVORI FINANCIRANJA:</t>
  </si>
  <si>
    <t>098 Usluge obrazovanja koje nisu drugdje svrstane</t>
  </si>
  <si>
    <t>UKUPNO:</t>
  </si>
  <si>
    <t>Izvor financiranja 5.T.</t>
  </si>
  <si>
    <t>097 Istraživanje i razvoj obrazovanja</t>
  </si>
  <si>
    <t>0970 Istraživanje i razvoj obrazovanja</t>
  </si>
  <si>
    <t>Voditelj računovodstva:</t>
  </si>
  <si>
    <t>Ravnatelj:</t>
  </si>
  <si>
    <t>Predsjednik Školskog odbora:</t>
  </si>
  <si>
    <t>Katarina Bečić Mutvar</t>
  </si>
  <si>
    <t>Mileo Todić</t>
  </si>
  <si>
    <t>Romana Orlić</t>
  </si>
  <si>
    <t>Izvršenje 2022.</t>
  </si>
  <si>
    <t>Plan 2023.</t>
  </si>
  <si>
    <t>Strojevi za ostale namjene-kuhinja</t>
  </si>
  <si>
    <t>Dodatna ulaganja na nefinanc.imovini</t>
  </si>
  <si>
    <t>Tekući projekt T00015</t>
  </si>
  <si>
    <t>Nabava pribora za školsku kuhinju</t>
  </si>
  <si>
    <t>Rashodi za nabavu nefinanc.imovine</t>
  </si>
  <si>
    <t>Plan za 2024.</t>
  </si>
  <si>
    <t>Projekcija 
za 2026.</t>
  </si>
  <si>
    <t>5.T</t>
  </si>
  <si>
    <t>kn</t>
  </si>
  <si>
    <t>Izvršenje 2022.**</t>
  </si>
  <si>
    <t>Plan 2023.**</t>
  </si>
  <si>
    <t>Službena, radana i zaštitna odjeća i obuća</t>
  </si>
  <si>
    <t>Opskrba besplatnim zalihama menstrualnih higijenskih poptrepština</t>
  </si>
  <si>
    <t>Tekući projekt T100058</t>
  </si>
  <si>
    <t>Prsten potpore VII  (IX)</t>
  </si>
  <si>
    <t>Prsten potpore VII  (VIII)</t>
  </si>
  <si>
    <t>PRIJEDLOG FINANCIJSKOG PLANA PRORAČUNSKOG KORISNIKA JEDINICE LOKALNE I PODRUČNE (REGIONALNE) SAMOUPRAVE 
ZA 2024. I PROJEKCIJA ZA 2025. I 2026. GODINU</t>
  </si>
  <si>
    <t>PRIJEDLOG FINANCIJSKOG PLANA PRORAČUNSKOG KORISNIKA JEDINICE LOKALNE I PODRUČNE (REGIONALNE) SAMOUPRAVE 
ZA 2024. I PROJEKCIJA ZA 2025. I 2026. GODINU (EUR)</t>
  </si>
  <si>
    <t>PRIJEDLOG FINANCIJSKOG PLANA PRORAČUNSKOG KORISNIKA JEDINICE LOKALNE I PODRUČNE (REGIONALNE) SAMOUPRAVE 
ZA 2024. I PROJEKCIJA ZA 2054. I 2026.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</si>
</sst>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4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sz val="8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00B050"/>
      <name val="Calibri"/>
      <family val="2"/>
      <charset val="238"/>
      <scheme val="minor"/>
    </font>
    <font>
      <i/>
      <sz val="10"/>
      <color rgb="FF00B050"/>
      <name val="Arial"/>
      <family val="2"/>
      <charset val="238"/>
    </font>
    <font>
      <sz val="11"/>
      <color rgb="FF00B05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CCC0DA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rgb="FFC1C1FF"/>
      </patternFill>
    </fill>
    <fill>
      <patternFill patternType="solid">
        <fgColor theme="9" tint="-0.249977111117893"/>
        <bgColor rgb="FFC1C1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19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4" fontId="3" fillId="2" borderId="3" xfId="0" applyNumberFormat="1" applyFont="1" applyFill="1" applyBorder="1" applyAlignment="1">
      <alignment horizontal="right"/>
    </xf>
    <xf numFmtId="0" fontId="20" fillId="9" borderId="0" xfId="0" applyNumberFormat="1" applyFont="1" applyFill="1" applyBorder="1" applyAlignment="1" applyProtection="1"/>
    <xf numFmtId="4" fontId="0" fillId="0" borderId="0" xfId="0" applyNumberFormat="1"/>
    <xf numFmtId="4" fontId="3" fillId="2" borderId="4" xfId="0" applyNumberFormat="1" applyFont="1" applyFill="1" applyBorder="1" applyAlignment="1">
      <alignment horizontal="right"/>
    </xf>
    <xf numFmtId="0" fontId="11" fillId="12" borderId="3" xfId="0" applyNumberFormat="1" applyFont="1" applyFill="1" applyBorder="1" applyAlignment="1" applyProtection="1">
      <alignment horizontal="left" vertical="center" wrapText="1"/>
    </xf>
    <xf numFmtId="0" fontId="9" fillId="12" borderId="3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3" fillId="12" borderId="3" xfId="0" applyNumberFormat="1" applyFont="1" applyFill="1" applyBorder="1" applyAlignment="1">
      <alignment horizontal="right"/>
    </xf>
    <xf numFmtId="4" fontId="21" fillId="2" borderId="3" xfId="0" applyNumberFormat="1" applyFont="1" applyFill="1" applyBorder="1" applyAlignment="1">
      <alignment horizontal="right"/>
    </xf>
    <xf numFmtId="0" fontId="11" fillId="13" borderId="3" xfId="0" applyNumberFormat="1" applyFont="1" applyFill="1" applyBorder="1" applyAlignment="1" applyProtection="1">
      <alignment horizontal="left" vertical="center" wrapText="1"/>
    </xf>
    <xf numFmtId="4" fontId="6" fillId="13" borderId="3" xfId="0" applyNumberFormat="1" applyFont="1" applyFill="1" applyBorder="1" applyAlignment="1">
      <alignment horizontal="right"/>
    </xf>
    <xf numFmtId="0" fontId="11" fillId="13" borderId="3" xfId="0" applyFont="1" applyFill="1" applyBorder="1" applyAlignment="1">
      <alignment horizontal="left" vertical="center"/>
    </xf>
    <xf numFmtId="0" fontId="11" fillId="13" borderId="3" xfId="0" applyNumberFormat="1" applyFont="1" applyFill="1" applyBorder="1" applyAlignment="1" applyProtection="1">
      <alignment horizontal="left" vertical="center"/>
    </xf>
    <xf numFmtId="0" fontId="11" fillId="13" borderId="3" xfId="0" applyNumberFormat="1" applyFont="1" applyFill="1" applyBorder="1" applyAlignment="1" applyProtection="1">
      <alignment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11" fillId="14" borderId="3" xfId="0" applyNumberFormat="1" applyFont="1" applyFill="1" applyBorder="1" applyAlignment="1" applyProtection="1">
      <alignment horizontal="left" vertical="center" wrapText="1"/>
    </xf>
    <xf numFmtId="4" fontId="6" fillId="14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6" fillId="4" borderId="1" xfId="0" quotePrefix="1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 applyProtection="1">
      <alignment horizontal="right" wrapText="1"/>
    </xf>
    <xf numFmtId="4" fontId="6" fillId="3" borderId="1" xfId="0" quotePrefix="1" applyNumberFormat="1" applyFont="1" applyFill="1" applyBorder="1" applyAlignment="1">
      <alignment horizontal="right"/>
    </xf>
    <xf numFmtId="4" fontId="0" fillId="5" borderId="0" xfId="0" applyNumberFormat="1" applyFill="1"/>
    <xf numFmtId="0" fontId="0" fillId="0" borderId="0" xfId="0" applyFill="1"/>
    <xf numFmtId="4" fontId="6" fillId="2" borderId="4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 wrapText="1"/>
    </xf>
    <xf numFmtId="0" fontId="10" fillId="0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vertical="center" wrapText="1"/>
    </xf>
    <xf numFmtId="0" fontId="26" fillId="15" borderId="0" xfId="0" applyNumberFormat="1" applyFont="1" applyFill="1" applyBorder="1" applyAlignment="1" applyProtection="1">
      <alignment horizontal="center" vertical="center" wrapText="1"/>
    </xf>
    <xf numFmtId="4" fontId="27" fillId="0" borderId="0" xfId="0" applyNumberFormat="1" applyFont="1" applyFill="1" applyBorder="1" applyAlignment="1" applyProtection="1">
      <alignment horizontal="center" vertical="center" wrapText="1"/>
    </xf>
    <xf numFmtId="0" fontId="28" fillId="4" borderId="4" xfId="0" applyNumberFormat="1" applyFont="1" applyFill="1" applyBorder="1" applyAlignment="1" applyProtection="1">
      <alignment horizontal="center" vertical="center" wrapText="1"/>
    </xf>
    <xf numFmtId="4" fontId="30" fillId="8" borderId="3" xfId="0" applyNumberFormat="1" applyFont="1" applyFill="1" applyBorder="1" applyAlignment="1" applyProtection="1"/>
    <xf numFmtId="4" fontId="26" fillId="4" borderId="3" xfId="0" applyNumberFormat="1" applyFont="1" applyFill="1" applyBorder="1" applyAlignment="1">
      <alignment horizontal="right"/>
    </xf>
    <xf numFmtId="4" fontId="26" fillId="2" borderId="4" xfId="0" applyNumberFormat="1" applyFont="1" applyFill="1" applyBorder="1" applyAlignment="1">
      <alignment horizontal="right"/>
    </xf>
    <xf numFmtId="4" fontId="26" fillId="2" borderId="3" xfId="0" applyNumberFormat="1" applyFont="1" applyFill="1" applyBorder="1" applyAlignment="1">
      <alignment horizontal="right"/>
    </xf>
    <xf numFmtId="4" fontId="26" fillId="2" borderId="3" xfId="0" applyNumberFormat="1" applyFont="1" applyFill="1" applyBorder="1" applyAlignment="1" applyProtection="1">
      <alignment horizontal="right" wrapText="1"/>
    </xf>
    <xf numFmtId="4" fontId="28" fillId="7" borderId="3" xfId="0" applyNumberFormat="1" applyFont="1" applyFill="1" applyBorder="1" applyAlignment="1">
      <alignment horizontal="left" vertical="center" wrapText="1" readingOrder="1"/>
    </xf>
    <xf numFmtId="4" fontId="26" fillId="4" borderId="3" xfId="0" applyNumberFormat="1" applyFont="1" applyFill="1" applyBorder="1" applyAlignment="1" applyProtection="1">
      <alignment horizontal="right" wrapText="1"/>
    </xf>
    <xf numFmtId="4" fontId="26" fillId="0" borderId="3" xfId="0" applyNumberFormat="1" applyFont="1" applyFill="1" applyBorder="1" applyAlignment="1">
      <alignment horizontal="right"/>
    </xf>
    <xf numFmtId="0" fontId="31" fillId="0" borderId="0" xfId="0" applyFont="1"/>
    <xf numFmtId="4" fontId="31" fillId="0" borderId="0" xfId="0" applyNumberFormat="1" applyFont="1"/>
    <xf numFmtId="0" fontId="31" fillId="16" borderId="0" xfId="0" applyFont="1" applyFill="1"/>
    <xf numFmtId="0" fontId="31" fillId="0" borderId="0" xfId="0" applyFont="1" applyFill="1"/>
    <xf numFmtId="0" fontId="32" fillId="4" borderId="4" xfId="0" applyNumberFormat="1" applyFont="1" applyFill="1" applyBorder="1" applyAlignment="1" applyProtection="1">
      <alignment horizontal="center" vertical="center" wrapText="1"/>
    </xf>
    <xf numFmtId="0" fontId="32" fillId="4" borderId="3" xfId="0" applyNumberFormat="1" applyFont="1" applyFill="1" applyBorder="1" applyAlignment="1" applyProtection="1">
      <alignment horizontal="center" vertical="center" wrapText="1"/>
    </xf>
    <xf numFmtId="4" fontId="33" fillId="10" borderId="3" xfId="0" applyNumberFormat="1" applyFont="1" applyFill="1" applyBorder="1" applyAlignment="1">
      <alignment horizontal="right" vertical="center" wrapText="1" readingOrder="1"/>
    </xf>
    <xf numFmtId="4" fontId="32" fillId="7" borderId="3" xfId="0" applyNumberFormat="1" applyFont="1" applyFill="1" applyBorder="1" applyAlignment="1">
      <alignment horizontal="right" vertical="center" wrapText="1" readingOrder="1"/>
    </xf>
    <xf numFmtId="4" fontId="34" fillId="8" borderId="3" xfId="0" applyNumberFormat="1" applyFont="1" applyFill="1" applyBorder="1" applyAlignment="1" applyProtection="1"/>
    <xf numFmtId="4" fontId="35" fillId="4" borderId="3" xfId="0" applyNumberFormat="1" applyFont="1" applyFill="1" applyBorder="1" applyAlignment="1">
      <alignment horizontal="right"/>
    </xf>
    <xf numFmtId="4" fontId="32" fillId="2" borderId="3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>
      <alignment horizontal="right"/>
    </xf>
    <xf numFmtId="4" fontId="35" fillId="2" borderId="4" xfId="0" applyNumberFormat="1" applyFont="1" applyFill="1" applyBorder="1" applyAlignment="1">
      <alignment horizontal="right"/>
    </xf>
    <xf numFmtId="4" fontId="32" fillId="2" borderId="4" xfId="0" applyNumberFormat="1" applyFont="1" applyFill="1" applyBorder="1" applyAlignment="1">
      <alignment horizontal="right"/>
    </xf>
    <xf numFmtId="4" fontId="33" fillId="6" borderId="3" xfId="0" applyNumberFormat="1" applyFont="1" applyFill="1" applyBorder="1" applyAlignment="1">
      <alignment horizontal="right" vertical="center" wrapText="1" readingOrder="1"/>
    </xf>
    <xf numFmtId="4" fontId="36" fillId="16" borderId="0" xfId="0" applyNumberFormat="1" applyFont="1" applyFill="1"/>
    <xf numFmtId="4" fontId="36" fillId="0" borderId="0" xfId="0" applyNumberFormat="1" applyFont="1"/>
    <xf numFmtId="0" fontId="36" fillId="0" borderId="0" xfId="0" applyFont="1"/>
    <xf numFmtId="4" fontId="9" fillId="12" borderId="3" xfId="0" applyNumberFormat="1" applyFont="1" applyFill="1" applyBorder="1" applyAlignment="1">
      <alignment horizontal="right"/>
    </xf>
    <xf numFmtId="4" fontId="37" fillId="0" borderId="3" xfId="0" applyNumberFormat="1" applyFont="1" applyFill="1" applyBorder="1" applyAlignment="1">
      <alignment horizontal="right"/>
    </xf>
    <xf numFmtId="0" fontId="38" fillId="0" borderId="5" xfId="0" applyFont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4" fontId="11" fillId="7" borderId="3" xfId="0" applyNumberFormat="1" applyFont="1" applyFill="1" applyBorder="1" applyAlignment="1">
      <alignment horizontal="right" vertical="center" wrapText="1" readingOrder="1"/>
    </xf>
    <xf numFmtId="4" fontId="10" fillId="8" borderId="3" xfId="0" applyNumberFormat="1" applyFont="1" applyFill="1" applyBorder="1" applyAlignment="1" applyProtection="1"/>
    <xf numFmtId="4" fontId="9" fillId="4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>
      <alignment horizontal="right"/>
    </xf>
    <xf numFmtId="4" fontId="9" fillId="2" borderId="4" xfId="0" applyNumberFormat="1" applyFont="1" applyFill="1" applyBorder="1" applyAlignment="1">
      <alignment horizontal="right"/>
    </xf>
    <xf numFmtId="4" fontId="18" fillId="11" borderId="3" xfId="0" applyNumberFormat="1" applyFont="1" applyFill="1" applyBorder="1" applyAlignment="1">
      <alignment horizontal="right" vertical="center" wrapText="1" readingOrder="1"/>
    </xf>
    <xf numFmtId="4" fontId="10" fillId="2" borderId="3" xfId="0" applyNumberFormat="1" applyFont="1" applyFill="1" applyBorder="1" applyAlignment="1">
      <alignment horizontal="right"/>
    </xf>
    <xf numFmtId="4" fontId="37" fillId="0" borderId="0" xfId="0" applyNumberFormat="1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right" wrapText="1"/>
    </xf>
    <xf numFmtId="0" fontId="11" fillId="4" borderId="3" xfId="0" applyNumberFormat="1" applyFont="1" applyFill="1" applyBorder="1" applyAlignment="1" applyProtection="1">
      <alignment horizontal="center" vertical="center" wrapText="1"/>
    </xf>
    <xf numFmtId="0" fontId="18" fillId="10" borderId="3" xfId="0" applyFont="1" applyFill="1" applyBorder="1" applyAlignment="1">
      <alignment horizontal="left" vertical="center" wrapText="1" readingOrder="1"/>
    </xf>
    <xf numFmtId="0" fontId="11" fillId="7" borderId="3" xfId="0" applyFont="1" applyFill="1" applyBorder="1" applyAlignment="1">
      <alignment horizontal="left" vertical="center" wrapText="1" readingOrder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wrapTex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18" fillId="6" borderId="3" xfId="0" applyFont="1" applyFill="1" applyBorder="1" applyAlignment="1">
      <alignment horizontal="left" vertical="center" wrapText="1" readingOrder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wrapText="1"/>
    </xf>
    <xf numFmtId="0" fontId="18" fillId="11" borderId="3" xfId="0" applyFont="1" applyFill="1" applyBorder="1" applyAlignment="1">
      <alignment horizontal="left" vertical="center" wrapText="1" readingOrder="1"/>
    </xf>
    <xf numFmtId="49" fontId="9" fillId="2" borderId="1" xfId="0" applyNumberFormat="1" applyFont="1" applyFill="1" applyBorder="1" applyAlignment="1" applyProtection="1">
      <alignment horizontal="left" vertical="center" wrapText="1" indent="1"/>
    </xf>
    <xf numFmtId="49" fontId="9" fillId="2" borderId="2" xfId="0" applyNumberFormat="1" applyFont="1" applyFill="1" applyBorder="1" applyAlignment="1" applyProtection="1">
      <alignment horizontal="left" vertical="center" wrapText="1" indent="1"/>
    </xf>
    <xf numFmtId="49" fontId="9" fillId="2" borderId="4" xfId="0" applyNumberFormat="1" applyFont="1" applyFill="1" applyBorder="1" applyAlignment="1" applyProtection="1">
      <alignment horizontal="left" vertical="center" wrapText="1" indent="1"/>
    </xf>
    <xf numFmtId="0" fontId="19" fillId="0" borderId="3" xfId="0" applyNumberFormat="1" applyFont="1" applyFill="1" applyBorder="1" applyAlignment="1" applyProtection="1">
      <alignment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 applyProtection="1">
      <alignment vertical="center" wrapText="1"/>
    </xf>
    <xf numFmtId="49" fontId="9" fillId="2" borderId="4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 indent="1"/>
    </xf>
    <xf numFmtId="0" fontId="11" fillId="2" borderId="2" xfId="0" applyNumberFormat="1" applyFont="1" applyFill="1" applyBorder="1" applyAlignment="1" applyProtection="1">
      <alignment horizontal="left" vertical="center" wrapText="1" indent="1"/>
    </xf>
    <xf numFmtId="0" fontId="11" fillId="2" borderId="4" xfId="0" applyNumberFormat="1" applyFont="1" applyFill="1" applyBorder="1" applyAlignment="1" applyProtection="1">
      <alignment horizontal="left" vertical="center" wrapText="1" indent="1"/>
    </xf>
    <xf numFmtId="49" fontId="9" fillId="2" borderId="1" xfId="0" applyNumberFormat="1" applyFont="1" applyFill="1" applyBorder="1" applyAlignment="1" applyProtection="1">
      <alignment horizontal="left" vertical="center" wrapText="1" indent="1"/>
    </xf>
    <xf numFmtId="49" fontId="9" fillId="2" borderId="2" xfId="0" applyNumberFormat="1" applyFont="1" applyFill="1" applyBorder="1" applyAlignment="1" applyProtection="1">
      <alignment horizontal="left" vertical="center" wrapText="1" indent="1"/>
    </xf>
    <xf numFmtId="49" fontId="9" fillId="2" borderId="4" xfId="0" applyNumberFormat="1" applyFont="1" applyFill="1" applyBorder="1" applyAlignment="1" applyProtection="1">
      <alignment horizontal="left" vertical="center" wrapText="1" indent="1"/>
    </xf>
    <xf numFmtId="4" fontId="10" fillId="8" borderId="1" xfId="0" applyNumberFormat="1" applyFont="1" applyFill="1" applyBorder="1" applyAlignment="1" applyProtection="1">
      <alignment horizontal="left"/>
    </xf>
    <xf numFmtId="4" fontId="10" fillId="8" borderId="2" xfId="0" applyNumberFormat="1" applyFont="1" applyFill="1" applyBorder="1" applyAlignment="1" applyProtection="1">
      <alignment horizontal="left"/>
    </xf>
    <xf numFmtId="4" fontId="10" fillId="8" borderId="4" xfId="0" applyNumberFormat="1" applyFont="1" applyFill="1" applyBorder="1" applyAlignment="1" applyProtection="1">
      <alignment horizontal="left"/>
    </xf>
    <xf numFmtId="0" fontId="11" fillId="7" borderId="1" xfId="0" applyFont="1" applyFill="1" applyBorder="1" applyAlignment="1">
      <alignment horizontal="left" vertical="center" wrapText="1" readingOrder="1"/>
    </xf>
    <xf numFmtId="0" fontId="11" fillId="7" borderId="2" xfId="0" applyFont="1" applyFill="1" applyBorder="1" applyAlignment="1">
      <alignment horizontal="left" vertical="center" wrapText="1" readingOrder="1"/>
    </xf>
    <xf numFmtId="0" fontId="11" fillId="7" borderId="4" xfId="0" applyFont="1" applyFill="1" applyBorder="1" applyAlignment="1">
      <alignment horizontal="left" vertical="center" wrapText="1" readingOrder="1"/>
    </xf>
    <xf numFmtId="0" fontId="9" fillId="2" borderId="1" xfId="0" applyNumberFormat="1" applyFont="1" applyFill="1" applyBorder="1" applyAlignment="1" applyProtection="1">
      <alignment horizontal="left" vertical="center" wrapText="1" indent="1"/>
    </xf>
    <xf numFmtId="0" fontId="9" fillId="2" borderId="2" xfId="0" applyNumberFormat="1" applyFont="1" applyFill="1" applyBorder="1" applyAlignment="1" applyProtection="1">
      <alignment horizontal="left" vertical="center" wrapText="1" indent="1"/>
    </xf>
    <xf numFmtId="0" fontId="9" fillId="2" borderId="4" xfId="0" applyNumberFormat="1" applyFont="1" applyFill="1" applyBorder="1" applyAlignment="1" applyProtection="1">
      <alignment horizontal="left" vertical="center" wrapText="1" indent="1"/>
    </xf>
    <xf numFmtId="0" fontId="18" fillId="6" borderId="1" xfId="0" applyFont="1" applyFill="1" applyBorder="1" applyAlignment="1">
      <alignment horizontal="center" vertical="center" wrapText="1" readingOrder="1"/>
    </xf>
    <xf numFmtId="0" fontId="18" fillId="6" borderId="2" xfId="0" applyFont="1" applyFill="1" applyBorder="1" applyAlignment="1">
      <alignment horizontal="center" vertical="center" wrapText="1" readingOrder="1"/>
    </xf>
    <xf numFmtId="0" fontId="18" fillId="6" borderId="4" xfId="0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39" fillId="0" borderId="0" xfId="0" applyFont="1" applyAlignment="1">
      <alignment wrapText="1"/>
    </xf>
    <xf numFmtId="0" fontId="28" fillId="4" borderId="1" xfId="0" applyNumberFormat="1" applyFont="1" applyFill="1" applyBorder="1" applyAlignment="1" applyProtection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 readingOrder="1"/>
    </xf>
    <xf numFmtId="0" fontId="18" fillId="10" borderId="2" xfId="0" applyFont="1" applyFill="1" applyBorder="1" applyAlignment="1">
      <alignment horizontal="center" vertical="center" wrapText="1" readingOrder="1"/>
    </xf>
    <xf numFmtId="0" fontId="18" fillId="10" borderId="4" xfId="0" applyFont="1" applyFill="1" applyBorder="1" applyAlignment="1">
      <alignment horizontal="center" vertical="center" wrapText="1" readingOrder="1"/>
    </xf>
    <xf numFmtId="0" fontId="18" fillId="11" borderId="1" xfId="0" applyFont="1" applyFill="1" applyBorder="1" applyAlignment="1">
      <alignment horizontal="center" vertical="center" wrapText="1" readingOrder="1"/>
    </xf>
    <xf numFmtId="0" fontId="18" fillId="11" borderId="2" xfId="0" applyFont="1" applyFill="1" applyBorder="1" applyAlignment="1">
      <alignment horizontal="center" vertical="center" wrapText="1" readingOrder="1"/>
    </xf>
    <xf numFmtId="0" fontId="18" fillId="11" borderId="4" xfId="0" applyFont="1" applyFill="1" applyBorder="1" applyAlignment="1">
      <alignment horizontal="center" vertical="center" wrapText="1" readingOrder="1"/>
    </xf>
    <xf numFmtId="0" fontId="40" fillId="0" borderId="0" xfId="0" applyNumberFormat="1" applyFont="1" applyFill="1" applyBorder="1" applyAlignment="1" applyProtection="1">
      <alignment horizontal="center" vertical="center" wrapText="1"/>
    </xf>
  </cellXfs>
  <cellStyles count="2">
    <cellStyle name="Normal" xfId="1"/>
    <cellStyle name="Normalno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view="pageBreakPreview" zoomScaleNormal="100" zoomScaleSheetLayoutView="100" workbookViewId="0">
      <selection sqref="A1:J1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35" t="s">
        <v>271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135" t="s">
        <v>33</v>
      </c>
      <c r="B3" s="135"/>
      <c r="C3" s="135"/>
      <c r="D3" s="135"/>
      <c r="E3" s="135"/>
      <c r="F3" s="135"/>
      <c r="G3" s="135"/>
      <c r="H3" s="135"/>
      <c r="I3" s="152"/>
      <c r="J3" s="152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135" t="s">
        <v>41</v>
      </c>
      <c r="B5" s="136"/>
      <c r="C5" s="136"/>
      <c r="D5" s="136"/>
      <c r="E5" s="136"/>
      <c r="F5" s="136"/>
      <c r="G5" s="136"/>
      <c r="H5" s="136"/>
      <c r="I5" s="136"/>
      <c r="J5" s="136"/>
    </row>
    <row r="6" spans="1:10" ht="18" x14ac:dyDescent="0.25">
      <c r="A6" s="1"/>
      <c r="B6" s="2"/>
      <c r="C6" s="2"/>
      <c r="D6" s="2"/>
      <c r="E6" s="7"/>
      <c r="F6" s="104"/>
      <c r="G6" s="8"/>
      <c r="H6" s="8"/>
      <c r="I6" s="8"/>
      <c r="J6" s="36" t="s">
        <v>222</v>
      </c>
    </row>
    <row r="7" spans="1:10" ht="25.5" x14ac:dyDescent="0.25">
      <c r="A7" s="30"/>
      <c r="B7" s="31"/>
      <c r="C7" s="31"/>
      <c r="D7" s="32"/>
      <c r="E7" s="33"/>
      <c r="F7" s="4" t="s">
        <v>263</v>
      </c>
      <c r="G7" s="4" t="s">
        <v>264</v>
      </c>
      <c r="H7" s="4" t="s">
        <v>259</v>
      </c>
      <c r="I7" s="4" t="s">
        <v>48</v>
      </c>
      <c r="J7" s="4" t="s">
        <v>260</v>
      </c>
    </row>
    <row r="8" spans="1:10" x14ac:dyDescent="0.25">
      <c r="A8" s="153" t="s">
        <v>0</v>
      </c>
      <c r="B8" s="149"/>
      <c r="C8" s="149"/>
      <c r="D8" s="149"/>
      <c r="E8" s="154"/>
      <c r="F8" s="58">
        <f t="shared" ref="F8" si="0">SUM(F9:F10)</f>
        <v>1409572.09</v>
      </c>
      <c r="G8" s="58">
        <f>SUM(G9:G10)+0.02</f>
        <v>1316625.6000000001</v>
      </c>
      <c r="H8" s="58">
        <f>SUM(H9:H10)</f>
        <v>1649722.5</v>
      </c>
      <c r="I8" s="58">
        <f t="shared" ref="I8:J8" si="1">SUM(I9:I10)</f>
        <v>1649722.5</v>
      </c>
      <c r="J8" s="58">
        <f t="shared" si="1"/>
        <v>1649722.5</v>
      </c>
    </row>
    <row r="9" spans="1:10" x14ac:dyDescent="0.25">
      <c r="A9" s="145" t="s">
        <v>1</v>
      </c>
      <c r="B9" s="138"/>
      <c r="C9" s="138"/>
      <c r="D9" s="138"/>
      <c r="E9" s="151"/>
      <c r="F9" s="59">
        <f>' Račun prihoda i rashoda'!E11</f>
        <v>1409572.09</v>
      </c>
      <c r="G9" s="59">
        <f>' Račun prihoda i rashoda'!F11</f>
        <v>1316625.58</v>
      </c>
      <c r="H9" s="59">
        <f>' Račun prihoda i rashoda'!G11</f>
        <v>1649722.5</v>
      </c>
      <c r="I9" s="59">
        <f>' Račun prihoda i rashoda'!H11</f>
        <v>1649722.5</v>
      </c>
      <c r="J9" s="59">
        <f>' Račun prihoda i rashoda'!I11</f>
        <v>1649722.5</v>
      </c>
    </row>
    <row r="10" spans="1:10" x14ac:dyDescent="0.25">
      <c r="A10" s="155" t="s">
        <v>2</v>
      </c>
      <c r="B10" s="151"/>
      <c r="C10" s="151"/>
      <c r="D10" s="151"/>
      <c r="E10" s="151"/>
      <c r="F10" s="59">
        <f>' Račun prihoda i rashoda'!E26</f>
        <v>0</v>
      </c>
      <c r="G10" s="59">
        <f>' Račun prihoda i rashoda'!F26</f>
        <v>0</v>
      </c>
      <c r="H10" s="59">
        <f>' Račun prihoda i rashoda'!G26</f>
        <v>0</v>
      </c>
      <c r="I10" s="59">
        <f>' Račun prihoda i rashoda'!H26</f>
        <v>0</v>
      </c>
      <c r="J10" s="59">
        <f>' Račun prihoda i rashoda'!I26</f>
        <v>0</v>
      </c>
    </row>
    <row r="11" spans="1:10" x14ac:dyDescent="0.25">
      <c r="A11" s="37" t="s">
        <v>3</v>
      </c>
      <c r="B11" s="38"/>
      <c r="C11" s="38"/>
      <c r="D11" s="38"/>
      <c r="E11" s="38"/>
      <c r="F11" s="58">
        <f t="shared" ref="F11" si="2">SUM(F12:F13)</f>
        <v>1412813.27</v>
      </c>
      <c r="G11" s="58">
        <f>SUM(G12:G13)+0.02</f>
        <v>1325588.24</v>
      </c>
      <c r="H11" s="58">
        <f>SUM(H12:H13)</f>
        <v>1649722.5</v>
      </c>
      <c r="I11" s="58">
        <f t="shared" ref="I11:J11" si="3">SUM(I12:I13)</f>
        <v>1649722.5</v>
      </c>
      <c r="J11" s="58">
        <f t="shared" si="3"/>
        <v>1649722.5</v>
      </c>
    </row>
    <row r="12" spans="1:10" x14ac:dyDescent="0.25">
      <c r="A12" s="137" t="s">
        <v>4</v>
      </c>
      <c r="B12" s="138"/>
      <c r="C12" s="138"/>
      <c r="D12" s="138"/>
      <c r="E12" s="138"/>
      <c r="F12" s="59">
        <f>' Račun prihoda i rashoda'!E32</f>
        <v>1322288.81</v>
      </c>
      <c r="G12" s="59">
        <f>' Račun prihoda i rashoda'!F32</f>
        <v>1320602.3700000001</v>
      </c>
      <c r="H12" s="59">
        <f>' Račun prihoda i rashoda'!G32</f>
        <v>1642662.5</v>
      </c>
      <c r="I12" s="59">
        <f>' Račun prihoda i rashoda'!H32</f>
        <v>1642662.5</v>
      </c>
      <c r="J12" s="59">
        <f>' Račun prihoda i rashoda'!I32</f>
        <v>1642662.5</v>
      </c>
    </row>
    <row r="13" spans="1:10" x14ac:dyDescent="0.25">
      <c r="A13" s="150" t="s">
        <v>5</v>
      </c>
      <c r="B13" s="151"/>
      <c r="C13" s="151"/>
      <c r="D13" s="151"/>
      <c r="E13" s="151"/>
      <c r="F13" s="60">
        <f>' Račun prihoda i rashoda'!E59</f>
        <v>90524.46</v>
      </c>
      <c r="G13" s="60">
        <f>' Račun prihoda i rashoda'!F59</f>
        <v>4985.8500000000004</v>
      </c>
      <c r="H13" s="60">
        <f>' Račun prihoda i rashoda'!G59</f>
        <v>7060</v>
      </c>
      <c r="I13" s="60">
        <f>' Račun prihoda i rashoda'!H59</f>
        <v>7060</v>
      </c>
      <c r="J13" s="60">
        <f>' Račun prihoda i rashoda'!I59</f>
        <v>7060</v>
      </c>
    </row>
    <row r="14" spans="1:10" x14ac:dyDescent="0.25">
      <c r="A14" s="148" t="s">
        <v>6</v>
      </c>
      <c r="B14" s="149"/>
      <c r="C14" s="149"/>
      <c r="D14" s="149"/>
      <c r="E14" s="149"/>
      <c r="F14" s="61">
        <f t="shared" ref="F14" si="4">F8-F11</f>
        <v>-3241.18</v>
      </c>
      <c r="G14" s="61">
        <f>G8-G11</f>
        <v>-8962.64</v>
      </c>
      <c r="H14" s="61">
        <f>H8-H11</f>
        <v>0</v>
      </c>
      <c r="I14" s="61">
        <f t="shared" ref="I14:J14" si="5">I8-I11</f>
        <v>0</v>
      </c>
      <c r="J14" s="61">
        <f t="shared" si="5"/>
        <v>0</v>
      </c>
    </row>
    <row r="15" spans="1:10" ht="18" x14ac:dyDescent="0.25">
      <c r="A15" s="5"/>
      <c r="B15" s="9"/>
      <c r="C15" s="9"/>
      <c r="D15" s="9"/>
      <c r="E15" s="9"/>
      <c r="F15" s="114"/>
      <c r="G15" s="9"/>
      <c r="H15" s="3"/>
      <c r="I15" s="3"/>
      <c r="J15" s="3"/>
    </row>
    <row r="16" spans="1:10" ht="18" customHeight="1" x14ac:dyDescent="0.25">
      <c r="A16" s="135" t="s">
        <v>42</v>
      </c>
      <c r="B16" s="136"/>
      <c r="C16" s="136"/>
      <c r="D16" s="136"/>
      <c r="E16" s="136"/>
      <c r="F16" s="136"/>
      <c r="G16" s="136"/>
      <c r="H16" s="136"/>
      <c r="I16" s="136"/>
      <c r="J16" s="136"/>
    </row>
    <row r="17" spans="1:10" ht="18" x14ac:dyDescent="0.25">
      <c r="A17" s="27"/>
      <c r="B17" s="25"/>
      <c r="C17" s="25"/>
      <c r="D17" s="25"/>
      <c r="E17" s="25"/>
      <c r="F17" s="25"/>
      <c r="G17" s="25"/>
      <c r="H17" s="26"/>
      <c r="I17" s="26"/>
      <c r="J17" s="26"/>
    </row>
    <row r="18" spans="1:10" ht="25.5" x14ac:dyDescent="0.25">
      <c r="A18" s="30"/>
      <c r="B18" s="31"/>
      <c r="C18" s="31"/>
      <c r="D18" s="32"/>
      <c r="E18" s="33"/>
      <c r="F18" s="4" t="s">
        <v>263</v>
      </c>
      <c r="G18" s="4" t="s">
        <v>264</v>
      </c>
      <c r="H18" s="4" t="s">
        <v>259</v>
      </c>
      <c r="I18" s="4" t="s">
        <v>48</v>
      </c>
      <c r="J18" s="4" t="s">
        <v>260</v>
      </c>
    </row>
    <row r="19" spans="1:10" ht="15.75" customHeight="1" x14ac:dyDescent="0.25">
      <c r="A19" s="145" t="s">
        <v>8</v>
      </c>
      <c r="B19" s="146"/>
      <c r="C19" s="146"/>
      <c r="D19" s="146"/>
      <c r="E19" s="147"/>
      <c r="F19" s="35">
        <f>'Račun financiranja'!E9</f>
        <v>0</v>
      </c>
      <c r="G19" s="35">
        <f>'Račun financiranja'!F9</f>
        <v>0</v>
      </c>
      <c r="H19" s="35">
        <f>'Račun financiranja'!G9</f>
        <v>0</v>
      </c>
      <c r="I19" s="35">
        <f>'Račun financiranja'!H9</f>
        <v>0</v>
      </c>
      <c r="J19" s="35">
        <f>'Račun financiranja'!I9</f>
        <v>0</v>
      </c>
    </row>
    <row r="20" spans="1:10" x14ac:dyDescent="0.25">
      <c r="A20" s="145" t="s">
        <v>9</v>
      </c>
      <c r="B20" s="138"/>
      <c r="C20" s="138"/>
      <c r="D20" s="138"/>
      <c r="E20" s="138"/>
      <c r="F20" s="35">
        <f>'Račun financiranja'!E12</f>
        <v>0</v>
      </c>
      <c r="G20" s="35">
        <f>'Račun financiranja'!F12</f>
        <v>0</v>
      </c>
      <c r="H20" s="35">
        <f>'Račun financiranja'!G12</f>
        <v>0</v>
      </c>
      <c r="I20" s="35">
        <f>'Račun financiranja'!H12</f>
        <v>0</v>
      </c>
      <c r="J20" s="35">
        <f>'Račun financiranja'!I12</f>
        <v>0</v>
      </c>
    </row>
    <row r="21" spans="1:10" x14ac:dyDescent="0.25">
      <c r="A21" s="148" t="s">
        <v>10</v>
      </c>
      <c r="B21" s="149"/>
      <c r="C21" s="149"/>
      <c r="D21" s="149"/>
      <c r="E21" s="149"/>
      <c r="F21" s="34">
        <v>0</v>
      </c>
      <c r="G21" s="34">
        <v>0</v>
      </c>
      <c r="H21" s="34">
        <v>0</v>
      </c>
      <c r="I21" s="34">
        <v>0</v>
      </c>
      <c r="J21" s="34">
        <v>0</v>
      </c>
    </row>
    <row r="22" spans="1:10" ht="18" x14ac:dyDescent="0.25">
      <c r="A22" s="24"/>
      <c r="B22" s="25"/>
      <c r="C22" s="25"/>
      <c r="D22" s="25"/>
      <c r="E22" s="25"/>
      <c r="F22" s="25"/>
      <c r="G22" s="25"/>
      <c r="H22" s="26"/>
      <c r="I22" s="26"/>
      <c r="J22" s="26"/>
    </row>
    <row r="23" spans="1:10" ht="18" customHeight="1" x14ac:dyDescent="0.25">
      <c r="A23" s="135" t="s">
        <v>51</v>
      </c>
      <c r="B23" s="136"/>
      <c r="C23" s="136"/>
      <c r="D23" s="136"/>
      <c r="E23" s="136"/>
      <c r="F23" s="136"/>
      <c r="G23" s="136"/>
      <c r="H23" s="136"/>
      <c r="I23" s="136"/>
      <c r="J23" s="136"/>
    </row>
    <row r="24" spans="1:10" ht="18" x14ac:dyDescent="0.25">
      <c r="A24" s="24"/>
      <c r="B24" s="25"/>
      <c r="C24" s="25"/>
      <c r="D24" s="25"/>
      <c r="E24" s="25"/>
      <c r="F24" s="25"/>
      <c r="G24" s="25"/>
      <c r="H24" s="26"/>
      <c r="I24" s="26"/>
      <c r="J24" s="26"/>
    </row>
    <row r="25" spans="1:10" ht="25.5" x14ac:dyDescent="0.25">
      <c r="A25" s="30"/>
      <c r="B25" s="31"/>
      <c r="C25" s="31"/>
      <c r="D25" s="32"/>
      <c r="E25" s="33"/>
      <c r="F25" s="4" t="s">
        <v>263</v>
      </c>
      <c r="G25" s="4" t="s">
        <v>264</v>
      </c>
      <c r="H25" s="4" t="s">
        <v>259</v>
      </c>
      <c r="I25" s="4" t="s">
        <v>48</v>
      </c>
      <c r="J25" s="4" t="s">
        <v>260</v>
      </c>
    </row>
    <row r="26" spans="1:10" x14ac:dyDescent="0.25">
      <c r="A26" s="139" t="s">
        <v>43</v>
      </c>
      <c r="B26" s="140"/>
      <c r="C26" s="140"/>
      <c r="D26" s="140"/>
      <c r="E26" s="141"/>
      <c r="F26" s="62">
        <v>3241.18</v>
      </c>
      <c r="G26" s="62">
        <v>8962.64</v>
      </c>
      <c r="H26" s="62">
        <v>0</v>
      </c>
      <c r="I26" s="62">
        <v>0</v>
      </c>
      <c r="J26" s="63">
        <v>0</v>
      </c>
    </row>
    <row r="27" spans="1:10" ht="30" customHeight="1" x14ac:dyDescent="0.25">
      <c r="A27" s="142" t="s">
        <v>7</v>
      </c>
      <c r="B27" s="143"/>
      <c r="C27" s="143"/>
      <c r="D27" s="143"/>
      <c r="E27" s="144"/>
      <c r="F27" s="64">
        <v>3241.18</v>
      </c>
      <c r="G27" s="64">
        <v>8962.64</v>
      </c>
      <c r="H27" s="64">
        <v>0</v>
      </c>
      <c r="I27" s="64">
        <v>0</v>
      </c>
      <c r="J27" s="61">
        <v>0</v>
      </c>
    </row>
    <row r="30" spans="1:10" x14ac:dyDescent="0.25">
      <c r="A30" s="137" t="s">
        <v>11</v>
      </c>
      <c r="B30" s="138"/>
      <c r="C30" s="138"/>
      <c r="D30" s="138"/>
      <c r="E30" s="138"/>
      <c r="F30" s="35">
        <v>0</v>
      </c>
      <c r="G30" s="35">
        <v>0</v>
      </c>
      <c r="H30" s="35">
        <v>0</v>
      </c>
      <c r="I30" s="35">
        <v>0</v>
      </c>
      <c r="J30" s="35">
        <v>0</v>
      </c>
    </row>
    <row r="31" spans="1:10" ht="11.25" customHeight="1" x14ac:dyDescent="0.25">
      <c r="A31" s="19"/>
      <c r="B31" s="20"/>
      <c r="C31" s="20"/>
      <c r="D31" s="20"/>
      <c r="E31" s="20"/>
      <c r="F31" s="21"/>
      <c r="G31" s="21"/>
      <c r="H31" s="21"/>
      <c r="I31" s="21"/>
      <c r="J31" s="21"/>
    </row>
    <row r="32" spans="1:10" ht="29.25" customHeight="1" x14ac:dyDescent="0.25">
      <c r="A32" s="133" t="s">
        <v>52</v>
      </c>
      <c r="B32" s="134"/>
      <c r="C32" s="134"/>
      <c r="D32" s="134"/>
      <c r="E32" s="134"/>
      <c r="F32" s="134"/>
      <c r="G32" s="134"/>
      <c r="H32" s="134"/>
      <c r="I32" s="134"/>
      <c r="J32" s="134"/>
    </row>
    <row r="33" spans="1:10" ht="8.25" customHeight="1" x14ac:dyDescent="0.25"/>
    <row r="34" spans="1:10" x14ac:dyDescent="0.25">
      <c r="A34" s="133" t="s">
        <v>44</v>
      </c>
      <c r="B34" s="134"/>
      <c r="C34" s="134"/>
      <c r="D34" s="134"/>
      <c r="E34" s="134"/>
      <c r="F34" s="134"/>
      <c r="G34" s="134"/>
      <c r="H34" s="134"/>
      <c r="I34" s="134"/>
      <c r="J34" s="134"/>
    </row>
    <row r="35" spans="1:10" ht="8.25" customHeight="1" x14ac:dyDescent="0.25"/>
    <row r="36" spans="1:10" ht="29.25" customHeight="1" x14ac:dyDescent="0.25">
      <c r="A36" s="133" t="s">
        <v>45</v>
      </c>
      <c r="B36" s="134"/>
      <c r="C36" s="134"/>
      <c r="D36" s="134"/>
      <c r="E36" s="134"/>
      <c r="F36" s="134"/>
      <c r="G36" s="134"/>
      <c r="H36" s="134"/>
      <c r="I36" s="134"/>
      <c r="J36" s="134"/>
    </row>
    <row r="38" spans="1:10" x14ac:dyDescent="0.25">
      <c r="A38" t="s">
        <v>246</v>
      </c>
      <c r="E38" t="s">
        <v>247</v>
      </c>
      <c r="H38" t="s">
        <v>248</v>
      </c>
    </row>
    <row r="39" spans="1:10" x14ac:dyDescent="0.25">
      <c r="A39" t="s">
        <v>249</v>
      </c>
      <c r="E39" t="s">
        <v>250</v>
      </c>
      <c r="H39" t="s">
        <v>251</v>
      </c>
    </row>
  </sheetData>
  <mergeCells count="20">
    <mergeCell ref="A12:E12"/>
    <mergeCell ref="A5:J5"/>
    <mergeCell ref="A16:J16"/>
    <mergeCell ref="A1:J1"/>
    <mergeCell ref="A3:J3"/>
    <mergeCell ref="A8:E8"/>
    <mergeCell ref="A9:E9"/>
    <mergeCell ref="A10:E10"/>
    <mergeCell ref="A19:E19"/>
    <mergeCell ref="A20:E20"/>
    <mergeCell ref="A21:E21"/>
    <mergeCell ref="A13:E13"/>
    <mergeCell ref="A14:E14"/>
    <mergeCell ref="A36:J36"/>
    <mergeCell ref="A23:J23"/>
    <mergeCell ref="A32:J32"/>
    <mergeCell ref="A30:E30"/>
    <mergeCell ref="A34:J34"/>
    <mergeCell ref="A26:E26"/>
    <mergeCell ref="A27:E2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1"/>
  <sheetViews>
    <sheetView view="pageBreakPreview" topLeftCell="A52" zoomScaleNormal="100" zoomScaleSheetLayoutView="100" workbookViewId="0">
      <selection sqref="A1:J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8.7109375" customWidth="1"/>
    <col min="5" max="6" width="25.28515625" customWidth="1"/>
    <col min="7" max="9" width="25.28515625" style="41" customWidth="1"/>
    <col min="11" max="11" width="11.7109375" customWidth="1"/>
    <col min="12" max="12" width="10.85546875" customWidth="1"/>
    <col min="13" max="13" width="11.7109375" customWidth="1"/>
    <col min="14" max="14" width="25.42578125" customWidth="1"/>
    <col min="15" max="15" width="14.28515625" customWidth="1"/>
    <col min="16" max="17" width="9.140625" customWidth="1"/>
  </cols>
  <sheetData>
    <row r="1" spans="1:15" ht="42" customHeight="1" x14ac:dyDescent="0.25">
      <c r="A1" s="135" t="s">
        <v>270</v>
      </c>
      <c r="B1" s="135"/>
      <c r="C1" s="135"/>
      <c r="D1" s="135"/>
      <c r="E1" s="135"/>
      <c r="F1" s="135"/>
      <c r="G1" s="135"/>
      <c r="H1" s="135"/>
      <c r="I1" s="135"/>
      <c r="K1">
        <v>7.5345000000000004</v>
      </c>
    </row>
    <row r="2" spans="1:15" ht="18" customHeight="1" x14ac:dyDescent="0.25">
      <c r="A2" s="5"/>
      <c r="B2" s="5"/>
      <c r="C2" s="5"/>
      <c r="D2" s="5"/>
      <c r="E2" s="5"/>
      <c r="F2" s="5"/>
      <c r="G2" s="45"/>
      <c r="H2" s="45"/>
      <c r="I2" s="45"/>
    </row>
    <row r="3" spans="1:15" ht="15.75" x14ac:dyDescent="0.25">
      <c r="A3" s="135" t="s">
        <v>33</v>
      </c>
      <c r="B3" s="135"/>
      <c r="C3" s="135"/>
      <c r="D3" s="135"/>
      <c r="E3" s="135"/>
      <c r="F3" s="135"/>
      <c r="G3" s="135"/>
      <c r="H3" s="152"/>
      <c r="I3" s="152"/>
    </row>
    <row r="4" spans="1:15" ht="18" x14ac:dyDescent="0.25">
      <c r="A4" s="5"/>
      <c r="B4" s="5"/>
      <c r="C4" s="5"/>
      <c r="D4" s="5"/>
      <c r="E4" s="5"/>
      <c r="F4" s="5"/>
      <c r="G4" s="45"/>
      <c r="H4" s="46"/>
      <c r="I4" s="46"/>
    </row>
    <row r="5" spans="1:15" ht="18" customHeight="1" x14ac:dyDescent="0.25">
      <c r="A5" s="135" t="s">
        <v>13</v>
      </c>
      <c r="B5" s="136"/>
      <c r="C5" s="136"/>
      <c r="D5" s="136"/>
      <c r="E5" s="136"/>
      <c r="F5" s="136"/>
      <c r="G5" s="136"/>
      <c r="H5" s="136"/>
      <c r="I5" s="136"/>
    </row>
    <row r="6" spans="1:15" ht="18" x14ac:dyDescent="0.25">
      <c r="A6" s="5"/>
      <c r="B6" s="5"/>
      <c r="C6" s="5"/>
      <c r="D6" s="5"/>
      <c r="E6" s="5"/>
      <c r="F6" s="5"/>
      <c r="G6" s="45"/>
      <c r="H6" s="46"/>
      <c r="I6" s="46"/>
    </row>
    <row r="7" spans="1:15" ht="15.75" x14ac:dyDescent="0.25">
      <c r="A7" s="135" t="s">
        <v>1</v>
      </c>
      <c r="B7" s="156"/>
      <c r="C7" s="156"/>
      <c r="D7" s="156"/>
      <c r="E7" s="156"/>
      <c r="F7" s="156"/>
      <c r="G7" s="156"/>
      <c r="H7" s="156"/>
      <c r="I7" s="156"/>
    </row>
    <row r="8" spans="1:15" ht="18" x14ac:dyDescent="0.25">
      <c r="A8" s="5"/>
      <c r="B8" s="5"/>
      <c r="C8" s="5"/>
      <c r="D8" s="103" t="s">
        <v>262</v>
      </c>
      <c r="E8" s="103">
        <f>E10*7.5345</f>
        <v>10620420.91</v>
      </c>
      <c r="F8" s="45"/>
      <c r="G8" s="45"/>
      <c r="H8" s="46"/>
      <c r="I8" s="46"/>
      <c r="K8" t="s">
        <v>175</v>
      </c>
      <c r="M8" t="s">
        <v>176</v>
      </c>
      <c r="O8" t="s">
        <v>238</v>
      </c>
    </row>
    <row r="9" spans="1:15" ht="27.75" customHeight="1" x14ac:dyDescent="0.25">
      <c r="A9" s="23" t="s">
        <v>14</v>
      </c>
      <c r="B9" s="22" t="s">
        <v>15</v>
      </c>
      <c r="C9" s="22" t="s">
        <v>16</v>
      </c>
      <c r="D9" s="22" t="s">
        <v>12</v>
      </c>
      <c r="E9" s="22" t="s">
        <v>252</v>
      </c>
      <c r="F9" s="23" t="s">
        <v>253</v>
      </c>
      <c r="G9" s="47" t="s">
        <v>259</v>
      </c>
      <c r="H9" s="47" t="s">
        <v>48</v>
      </c>
      <c r="I9" s="47" t="s">
        <v>260</v>
      </c>
    </row>
    <row r="10" spans="1:15" ht="15.75" customHeight="1" x14ac:dyDescent="0.25">
      <c r="A10" s="56"/>
      <c r="B10" s="56"/>
      <c r="C10" s="56"/>
      <c r="D10" s="56" t="s">
        <v>177</v>
      </c>
      <c r="E10" s="57">
        <f t="shared" ref="E10:F10" si="0">E11+E26</f>
        <v>1409572.09</v>
      </c>
      <c r="F10" s="57">
        <f t="shared" si="0"/>
        <v>1316625.58</v>
      </c>
      <c r="G10" s="57">
        <f>G11+G26</f>
        <v>1649722.5</v>
      </c>
      <c r="H10" s="57">
        <f t="shared" ref="H10" si="1">H11+H26</f>
        <v>1649722.5</v>
      </c>
      <c r="I10" s="57">
        <f t="shared" ref="I10" si="2">I11+I26</f>
        <v>1649722.5</v>
      </c>
      <c r="K10" s="41"/>
    </row>
    <row r="11" spans="1:15" ht="15.75" customHeight="1" x14ac:dyDescent="0.25">
      <c r="A11" s="50">
        <v>6</v>
      </c>
      <c r="B11" s="50"/>
      <c r="C11" s="50"/>
      <c r="D11" s="50" t="s">
        <v>17</v>
      </c>
      <c r="E11" s="51">
        <f>E12+E16+E18+E21+E14</f>
        <v>1409572.09</v>
      </c>
      <c r="F11" s="51">
        <f>F12+F16+F18+F21+F14</f>
        <v>1316625.58</v>
      </c>
      <c r="G11" s="51">
        <f>G12+G16+G18+G21+G14</f>
        <v>1649722.5</v>
      </c>
      <c r="H11" s="51">
        <f t="shared" ref="H11:I11" si="3">H12+H16+H18+H21+H14</f>
        <v>1649722.5</v>
      </c>
      <c r="I11" s="51">
        <f t="shared" si="3"/>
        <v>1649722.5</v>
      </c>
      <c r="K11" s="41">
        <f>G11+G26</f>
        <v>1649722.5</v>
      </c>
      <c r="M11" s="41">
        <f>G32+G59</f>
        <v>1649722.5</v>
      </c>
      <c r="O11" s="41">
        <f>M11-K11</f>
        <v>0</v>
      </c>
    </row>
    <row r="12" spans="1:15" ht="38.25" x14ac:dyDescent="0.25">
      <c r="A12" s="43"/>
      <c r="B12" s="44">
        <v>63</v>
      </c>
      <c r="C12" s="44"/>
      <c r="D12" s="44" t="s">
        <v>49</v>
      </c>
      <c r="E12" s="48">
        <f>E13</f>
        <v>1133687.01</v>
      </c>
      <c r="F12" s="48">
        <f>F13</f>
        <v>1188824.1499999999</v>
      </c>
      <c r="G12" s="48">
        <f>G13</f>
        <v>1512765.5</v>
      </c>
      <c r="H12" s="48">
        <f t="shared" ref="H12:I12" si="4">H13</f>
        <v>1512765.5</v>
      </c>
      <c r="I12" s="48">
        <f t="shared" si="4"/>
        <v>1512765.5</v>
      </c>
      <c r="K12" s="41"/>
      <c r="O12" s="65">
        <f>'POSEBNI DIO'!G408+'POSEBNI DIO'!G412</f>
        <v>0</v>
      </c>
    </row>
    <row r="13" spans="1:15" x14ac:dyDescent="0.25">
      <c r="A13" s="14"/>
      <c r="B13" s="14"/>
      <c r="C13" s="15" t="s">
        <v>56</v>
      </c>
      <c r="D13" s="15" t="s">
        <v>149</v>
      </c>
      <c r="E13" s="41">
        <f>8541764.81/K1</f>
        <v>1133687.01</v>
      </c>
      <c r="F13" s="49">
        <f>'POSEBNI DIO'!F410</f>
        <v>1188824.1499999999</v>
      </c>
      <c r="G13" s="49">
        <f>'POSEBNI DIO'!G410</f>
        <v>1512765.5</v>
      </c>
      <c r="H13" s="49">
        <f>'POSEBNI DIO'!H410</f>
        <v>1512765.5</v>
      </c>
      <c r="I13" s="49">
        <f>'POSEBNI DIO'!I410</f>
        <v>1512765.5</v>
      </c>
    </row>
    <row r="14" spans="1:15" x14ac:dyDescent="0.25">
      <c r="A14" s="43"/>
      <c r="B14" s="44">
        <v>64</v>
      </c>
      <c r="C14" s="44"/>
      <c r="D14" s="44" t="s">
        <v>170</v>
      </c>
      <c r="E14" s="48">
        <f t="shared" ref="E14:F14" si="5">E15</f>
        <v>0.22</v>
      </c>
      <c r="F14" s="48">
        <f t="shared" si="5"/>
        <v>0.3</v>
      </c>
      <c r="G14" s="48">
        <f>G15</f>
        <v>0.3</v>
      </c>
      <c r="H14" s="48">
        <f t="shared" ref="H14:I14" si="6">H15</f>
        <v>0.3</v>
      </c>
      <c r="I14" s="48">
        <f t="shared" si="6"/>
        <v>0.3</v>
      </c>
    </row>
    <row r="15" spans="1:15" x14ac:dyDescent="0.25">
      <c r="A15" s="14"/>
      <c r="B15" s="14"/>
      <c r="C15" s="15" t="s">
        <v>55</v>
      </c>
      <c r="D15" s="15" t="s">
        <v>40</v>
      </c>
      <c r="E15" s="49">
        <f>1.69/K1</f>
        <v>0.22</v>
      </c>
      <c r="F15" s="49">
        <v>0.3</v>
      </c>
      <c r="G15" s="49">
        <v>0.3</v>
      </c>
      <c r="H15" s="49">
        <v>0.3</v>
      </c>
      <c r="I15" s="49">
        <v>0.3</v>
      </c>
      <c r="O15" s="41">
        <f>O11-O12</f>
        <v>0</v>
      </c>
    </row>
    <row r="16" spans="1:15" ht="25.5" x14ac:dyDescent="0.25">
      <c r="A16" s="43"/>
      <c r="B16" s="44">
        <v>65</v>
      </c>
      <c r="C16" s="44"/>
      <c r="D16" s="44" t="s">
        <v>172</v>
      </c>
      <c r="E16" s="48">
        <f>E17</f>
        <v>44445.72</v>
      </c>
      <c r="F16" s="48">
        <f t="shared" ref="F16" si="7">F17</f>
        <v>43065.24</v>
      </c>
      <c r="G16" s="48">
        <f>G17</f>
        <v>21460</v>
      </c>
      <c r="H16" s="48">
        <f t="shared" ref="H16:I16" si="8">H17</f>
        <v>21460</v>
      </c>
      <c r="I16" s="48">
        <f t="shared" si="8"/>
        <v>21460</v>
      </c>
    </row>
    <row r="17" spans="1:15" ht="25.5" x14ac:dyDescent="0.25">
      <c r="A17" s="14"/>
      <c r="B17" s="29"/>
      <c r="C17" s="16" t="s">
        <v>164</v>
      </c>
      <c r="D17" s="18" t="s">
        <v>50</v>
      </c>
      <c r="E17" s="49">
        <f>334876.28/K1</f>
        <v>44445.72</v>
      </c>
      <c r="F17" s="49">
        <f>'POSEBNI DIO'!F409</f>
        <v>43065.24</v>
      </c>
      <c r="G17" s="49">
        <f>'POSEBNI DIO'!G409</f>
        <v>21460</v>
      </c>
      <c r="H17" s="49">
        <f>'POSEBNI DIO'!H409</f>
        <v>21460</v>
      </c>
      <c r="I17" s="49">
        <f>'POSEBNI DIO'!I409</f>
        <v>21460</v>
      </c>
      <c r="K17" s="41"/>
    </row>
    <row r="18" spans="1:15" ht="25.5" x14ac:dyDescent="0.25">
      <c r="A18" s="43"/>
      <c r="B18" s="44">
        <v>66</v>
      </c>
      <c r="C18" s="44"/>
      <c r="D18" s="44" t="s">
        <v>171</v>
      </c>
      <c r="E18" s="48">
        <f>SUM(E19:E20)</f>
        <v>859.6</v>
      </c>
      <c r="F18" s="48">
        <f t="shared" ref="F18" si="9">SUM(F19:F20)</f>
        <v>1008.39</v>
      </c>
      <c r="G18" s="48">
        <f>SUM(G19:G20)</f>
        <v>7309.7</v>
      </c>
      <c r="H18" s="48">
        <f t="shared" ref="H18:I18" si="10">SUM(H19:H20)</f>
        <v>7309.7</v>
      </c>
      <c r="I18" s="48">
        <f t="shared" si="10"/>
        <v>7309.7</v>
      </c>
    </row>
    <row r="19" spans="1:15" x14ac:dyDescent="0.25">
      <c r="A19" s="14"/>
      <c r="B19" s="14"/>
      <c r="C19" s="15" t="s">
        <v>55</v>
      </c>
      <c r="D19" s="55" t="s">
        <v>40</v>
      </c>
      <c r="E19" s="49">
        <f>2476.69/K1</f>
        <v>328.71</v>
      </c>
      <c r="F19" s="49">
        <v>477.5</v>
      </c>
      <c r="G19" s="49">
        <f>'POSEBNI DIO'!G407-G15</f>
        <v>6709.7</v>
      </c>
      <c r="H19" s="49">
        <f>'POSEBNI DIO'!H407-H15</f>
        <v>6709.7</v>
      </c>
      <c r="I19" s="49">
        <f>'POSEBNI DIO'!I407-I15</f>
        <v>6709.7</v>
      </c>
    </row>
    <row r="20" spans="1:15" x14ac:dyDescent="0.25">
      <c r="A20" s="14"/>
      <c r="B20" s="14"/>
      <c r="C20" s="15" t="s">
        <v>221</v>
      </c>
      <c r="D20" s="55" t="s">
        <v>150</v>
      </c>
      <c r="E20" s="49">
        <f>4000/K1</f>
        <v>530.89</v>
      </c>
      <c r="F20" s="49">
        <f>'POSEBNI DIO'!F411</f>
        <v>530.89</v>
      </c>
      <c r="G20" s="49">
        <f>'POSEBNI DIO'!G411</f>
        <v>600</v>
      </c>
      <c r="H20" s="49">
        <f>'POSEBNI DIO'!H411</f>
        <v>600</v>
      </c>
      <c r="I20" s="49">
        <f>'POSEBNI DIO'!I411</f>
        <v>600</v>
      </c>
    </row>
    <row r="21" spans="1:15" ht="25.5" x14ac:dyDescent="0.25">
      <c r="A21" s="43"/>
      <c r="B21" s="44">
        <v>67</v>
      </c>
      <c r="C21" s="44"/>
      <c r="D21" s="44" t="s">
        <v>173</v>
      </c>
      <c r="E21" s="48">
        <f>SUM(E22:E25)</f>
        <v>230579.54</v>
      </c>
      <c r="F21" s="48">
        <f t="shared" ref="F21" si="11">SUM(F22:F25)</f>
        <v>83727.5</v>
      </c>
      <c r="G21" s="48">
        <f>SUM(G22:G25)</f>
        <v>108187</v>
      </c>
      <c r="H21" s="48">
        <f t="shared" ref="H21:I21" si="12">SUM(H22:H25)</f>
        <v>108187</v>
      </c>
      <c r="I21" s="48">
        <f t="shared" si="12"/>
        <v>108187</v>
      </c>
      <c r="K21" s="41">
        <f>E21*7.5345</f>
        <v>1737301.54</v>
      </c>
    </row>
    <row r="22" spans="1:15" x14ac:dyDescent="0.25">
      <c r="A22" s="14"/>
      <c r="B22" s="14"/>
      <c r="C22" s="15" t="s">
        <v>159</v>
      </c>
      <c r="D22" s="55" t="s">
        <v>160</v>
      </c>
      <c r="E22" s="41">
        <f>(384223.9/K1)</f>
        <v>50995.28</v>
      </c>
      <c r="F22" s="49">
        <f>'POSEBNI DIO'!F404</f>
        <v>47411.76</v>
      </c>
      <c r="G22" s="49">
        <f>'POSEBNI DIO'!G404</f>
        <v>45990</v>
      </c>
      <c r="H22" s="49">
        <f>'POSEBNI DIO'!H404</f>
        <v>45990</v>
      </c>
      <c r="I22" s="49">
        <f>'POSEBNI DIO'!I404</f>
        <v>45990</v>
      </c>
      <c r="K22" s="41"/>
    </row>
    <row r="23" spans="1:15" x14ac:dyDescent="0.25">
      <c r="A23" s="14"/>
      <c r="B23" s="14"/>
      <c r="C23" s="15" t="s">
        <v>54</v>
      </c>
      <c r="D23" s="55" t="s">
        <v>18</v>
      </c>
      <c r="E23" s="49">
        <f>(224968.75+5000+11308.11+4000+4000+28086.89+14770.86+405709.19+394062.31)/K1-0.317</f>
        <v>144920.53</v>
      </c>
      <c r="F23" s="49">
        <f>'POSEBNI DIO'!F405</f>
        <v>8370.7099999999991</v>
      </c>
      <c r="G23" s="49">
        <f>'POSEBNI DIO'!G405</f>
        <v>12366.6</v>
      </c>
      <c r="H23" s="49">
        <f>'POSEBNI DIO'!H405</f>
        <v>12366.6</v>
      </c>
      <c r="I23" s="49">
        <f>'POSEBNI DIO'!I405</f>
        <v>12366.6</v>
      </c>
      <c r="K23" s="41"/>
    </row>
    <row r="24" spans="1:15" x14ac:dyDescent="0.25">
      <c r="A24" s="14"/>
      <c r="B24" s="14"/>
      <c r="C24" s="15" t="s">
        <v>174</v>
      </c>
      <c r="D24" s="55" t="s">
        <v>142</v>
      </c>
      <c r="E24" s="49">
        <f>18313.25/K1</f>
        <v>2430.59</v>
      </c>
      <c r="F24" s="49">
        <v>2256.29</v>
      </c>
      <c r="G24" s="49">
        <f>'POSEBNI DIO'!G403</f>
        <v>1000</v>
      </c>
      <c r="H24" s="49">
        <f>'POSEBNI DIO'!H403</f>
        <v>1000</v>
      </c>
      <c r="I24" s="49">
        <f>'POSEBNI DIO'!I403</f>
        <v>1000</v>
      </c>
    </row>
    <row r="25" spans="1:15" ht="25.5" x14ac:dyDescent="0.25">
      <c r="A25" s="14"/>
      <c r="B25" s="14"/>
      <c r="C25" s="15" t="s">
        <v>219</v>
      </c>
      <c r="D25" s="55" t="s">
        <v>134</v>
      </c>
      <c r="E25" s="41">
        <f>(159159.1+83701.52)/K1</f>
        <v>32233.14</v>
      </c>
      <c r="F25" s="49">
        <f>'POSEBNI DIO'!F406</f>
        <v>25688.74</v>
      </c>
      <c r="G25" s="49">
        <f>'POSEBNI DIO'!G406</f>
        <v>48830.400000000001</v>
      </c>
      <c r="H25" s="49">
        <f>'POSEBNI DIO'!H406</f>
        <v>48830.400000000001</v>
      </c>
      <c r="I25" s="49">
        <f>'POSEBNI DIO'!I406</f>
        <v>48830.400000000001</v>
      </c>
      <c r="K25" s="41"/>
    </row>
    <row r="26" spans="1:15" ht="25.5" x14ac:dyDescent="0.25">
      <c r="A26" s="52">
        <v>7</v>
      </c>
      <c r="B26" s="53"/>
      <c r="C26" s="53"/>
      <c r="D26" s="54" t="s">
        <v>19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</row>
    <row r="28" spans="1:15" ht="15.75" x14ac:dyDescent="0.25">
      <c r="A28" s="135" t="s">
        <v>20</v>
      </c>
      <c r="B28" s="156"/>
      <c r="C28" s="156"/>
      <c r="D28" s="156"/>
      <c r="E28" s="156"/>
      <c r="F28" s="156"/>
      <c r="G28" s="156"/>
      <c r="H28" s="156"/>
      <c r="I28" s="156"/>
      <c r="K28" s="41">
        <f>F31-F29</f>
        <v>0</v>
      </c>
    </row>
    <row r="29" spans="1:15" ht="18" x14ac:dyDescent="0.25">
      <c r="A29" s="5"/>
      <c r="B29" s="5"/>
      <c r="C29" s="5"/>
      <c r="D29" s="103" t="s">
        <v>262</v>
      </c>
      <c r="E29" s="103">
        <v>1412813.27</v>
      </c>
      <c r="F29" s="103">
        <v>1325588.24</v>
      </c>
      <c r="G29" s="45"/>
      <c r="H29" s="46"/>
      <c r="I29" s="46"/>
      <c r="J29" s="41">
        <f>F29-F31</f>
        <v>0</v>
      </c>
    </row>
    <row r="30" spans="1:15" ht="25.5" x14ac:dyDescent="0.25">
      <c r="A30" s="23" t="s">
        <v>14</v>
      </c>
      <c r="B30" s="22" t="s">
        <v>15</v>
      </c>
      <c r="C30" s="22" t="s">
        <v>16</v>
      </c>
      <c r="D30" s="22" t="s">
        <v>21</v>
      </c>
      <c r="E30" s="22" t="s">
        <v>252</v>
      </c>
      <c r="F30" s="23" t="s">
        <v>253</v>
      </c>
      <c r="G30" s="47" t="s">
        <v>259</v>
      </c>
      <c r="H30" s="47" t="s">
        <v>48</v>
      </c>
      <c r="I30" s="47" t="s">
        <v>260</v>
      </c>
      <c r="M30" s="41">
        <v>1412813.26</v>
      </c>
      <c r="N30" s="41">
        <f>E31-M30</f>
        <v>0.01</v>
      </c>
      <c r="O30" s="41">
        <v>4602.04</v>
      </c>
    </row>
    <row r="31" spans="1:15" ht="15.75" customHeight="1" x14ac:dyDescent="0.25">
      <c r="A31" s="56"/>
      <c r="B31" s="56"/>
      <c r="C31" s="56"/>
      <c r="D31" s="56" t="s">
        <v>178</v>
      </c>
      <c r="E31" s="57">
        <f>E32+E59</f>
        <v>1412813.27</v>
      </c>
      <c r="F31" s="57">
        <f>F32+F59+0.02</f>
        <v>1325588.24</v>
      </c>
      <c r="G31" s="57">
        <f t="shared" ref="G31:I31" si="13">G32+G59</f>
        <v>1649722.5</v>
      </c>
      <c r="H31" s="57">
        <f t="shared" si="13"/>
        <v>1649722.5</v>
      </c>
      <c r="I31" s="57">
        <f t="shared" si="13"/>
        <v>1649722.5</v>
      </c>
      <c r="K31" s="41" t="s">
        <v>141</v>
      </c>
      <c r="M31" s="41">
        <v>2256.29</v>
      </c>
    </row>
    <row r="32" spans="1:15" ht="15.75" customHeight="1" x14ac:dyDescent="0.25">
      <c r="A32" s="50">
        <v>3</v>
      </c>
      <c r="B32" s="50"/>
      <c r="C32" s="50"/>
      <c r="D32" s="50" t="s">
        <v>22</v>
      </c>
      <c r="E32" s="51">
        <f>E33+E37+E47+E52+E54+E56</f>
        <v>1322288.81</v>
      </c>
      <c r="F32" s="51">
        <f t="shared" ref="F32:I32" si="14">F33+F37+F47+F52+F54+F56</f>
        <v>1320602.3700000001</v>
      </c>
      <c r="G32" s="51">
        <f t="shared" si="14"/>
        <v>1642662.5</v>
      </c>
      <c r="H32" s="51">
        <f t="shared" si="14"/>
        <v>1642662.5</v>
      </c>
      <c r="I32" s="51">
        <f t="shared" si="14"/>
        <v>1642662.5</v>
      </c>
      <c r="K32" s="41" t="s">
        <v>122</v>
      </c>
      <c r="M32" s="41">
        <v>47411.76</v>
      </c>
      <c r="N32" s="41">
        <f>F39+F48</f>
        <v>47411.76</v>
      </c>
    </row>
    <row r="33" spans="1:17" ht="15.75" customHeight="1" x14ac:dyDescent="0.25">
      <c r="A33" s="43"/>
      <c r="B33" s="44">
        <v>31</v>
      </c>
      <c r="C33" s="44"/>
      <c r="D33" s="44" t="s">
        <v>23</v>
      </c>
      <c r="E33" s="102">
        <f>SUM(E34:E36)</f>
        <v>1071877.31</v>
      </c>
      <c r="F33" s="102">
        <f t="shared" ref="F33:I33" si="15">SUM(F34:F36)</f>
        <v>1096857.1299999999</v>
      </c>
      <c r="G33" s="102">
        <f t="shared" si="15"/>
        <v>1363834.4</v>
      </c>
      <c r="H33" s="102">
        <f>SUM(H34:H36)</f>
        <v>1363834.4</v>
      </c>
      <c r="I33" s="102">
        <f t="shared" si="15"/>
        <v>1363834.4</v>
      </c>
      <c r="K33" s="41" t="s">
        <v>128</v>
      </c>
      <c r="L33" s="41"/>
      <c r="M33" s="41">
        <v>8370.7099999999991</v>
      </c>
      <c r="N33" s="100">
        <f>E34+E38+E61+E68</f>
        <v>141779.73000000001</v>
      </c>
      <c r="O33" s="100">
        <f>F34+F38+F61+F68</f>
        <v>8370.7099999999991</v>
      </c>
    </row>
    <row r="34" spans="1:17" x14ac:dyDescent="0.25">
      <c r="A34" s="14"/>
      <c r="B34" s="14"/>
      <c r="C34" s="15" t="s">
        <v>54</v>
      </c>
      <c r="D34" s="15" t="s">
        <v>18</v>
      </c>
      <c r="E34" s="49">
        <f>'POSEBNI DIO'!E102+'POSEBNI DIO'!E121+'POSEBNI DIO'!E140+'POSEBNI DIO'!E159+'POSEBNI DIO'!E178+'POSEBNI DIO'!E83+'POSEBNI DIO'!E209</f>
        <v>8826.09</v>
      </c>
      <c r="F34" s="49">
        <f>'POSEBNI DIO'!F102+'POSEBNI DIO'!F121+'POSEBNI DIO'!F140+'POSEBNI DIO'!F159+'POSEBNI DIO'!F178+'POSEBNI DIO'!F83+'POSEBNI DIO'!F209</f>
        <v>4488.3599999999997</v>
      </c>
      <c r="G34" s="49">
        <f>'POSEBNI DIO'!G102+'POSEBNI DIO'!G121+'POSEBNI DIO'!G140+'POSEBNI DIO'!G159+'POSEBNI DIO'!G178+'POSEBNI DIO'!G83+'POSEBNI DIO'!G209</f>
        <v>8052</v>
      </c>
      <c r="H34" s="49">
        <f>'POSEBNI DIO'!H102+'POSEBNI DIO'!H121+'POSEBNI DIO'!H140+'POSEBNI DIO'!H159+'POSEBNI DIO'!H178+'POSEBNI DIO'!H83+'POSEBNI DIO'!H209</f>
        <v>8052</v>
      </c>
      <c r="I34" s="49">
        <f>'POSEBNI DIO'!I102+'POSEBNI DIO'!I121+'POSEBNI DIO'!I140+'POSEBNI DIO'!I159+'POSEBNI DIO'!I178+'POSEBNI DIO'!I83+'POSEBNI DIO'!I209</f>
        <v>8052</v>
      </c>
      <c r="K34" s="41" t="s">
        <v>243</v>
      </c>
      <c r="M34" s="41">
        <v>25688.74</v>
      </c>
      <c r="N34" s="41">
        <f>E35+E40</f>
        <v>32233.15</v>
      </c>
      <c r="O34" s="41">
        <f t="shared" ref="O34" si="16">F35+F40</f>
        <v>25688.74</v>
      </c>
      <c r="P34" s="41"/>
      <c r="Q34" s="41"/>
    </row>
    <row r="35" spans="1:17" x14ac:dyDescent="0.25">
      <c r="A35" s="14"/>
      <c r="B35" s="14"/>
      <c r="C35" s="15" t="s">
        <v>261</v>
      </c>
      <c r="D35" s="15" t="s">
        <v>161</v>
      </c>
      <c r="E35" s="49">
        <f>'POSEBNI DIO'!E111+'POSEBNI DIO'!E130+'POSEBNI DIO'!E149+'POSEBNI DIO'!E159+'POSEBNI DIO'!E168+'POSEBNI DIO'!E187+'POSEBNI DIO'!E92</f>
        <v>31212.07</v>
      </c>
      <c r="F35" s="49">
        <f>'POSEBNI DIO'!F92+'POSEBNI DIO'!F111+'POSEBNI DIO'!F130+'POSEBNI DIO'!F149+'POSEBNI DIO'!F168+'POSEBNI DIO'!F187</f>
        <v>25434</v>
      </c>
      <c r="G35" s="49">
        <f>'POSEBNI DIO'!G92+'POSEBNI DIO'!G111+'POSEBNI DIO'!G130+'POSEBNI DIO'!G149+'POSEBNI DIO'!G168+'POSEBNI DIO'!G187</f>
        <v>45172.4</v>
      </c>
      <c r="H35" s="49">
        <f>'POSEBNI DIO'!H92+'POSEBNI DIO'!H111+'POSEBNI DIO'!H130+'POSEBNI DIO'!H149+'POSEBNI DIO'!H168+'POSEBNI DIO'!H187</f>
        <v>45172.4</v>
      </c>
      <c r="I35" s="49">
        <f>'POSEBNI DIO'!I92+'POSEBNI DIO'!I111+'POSEBNI DIO'!I130+'POSEBNI DIO'!I149+'POSEBNI DIO'!I168+'POSEBNI DIO'!I187</f>
        <v>45172.4</v>
      </c>
      <c r="K35" t="s">
        <v>137</v>
      </c>
      <c r="M35" s="41">
        <v>3238.44</v>
      </c>
      <c r="N35" s="100">
        <f>E41+E63+E49</f>
        <v>6221.26</v>
      </c>
      <c r="O35" s="100">
        <f>F41+F63+F49</f>
        <v>3238.44</v>
      </c>
      <c r="P35" s="41">
        <f>M35-O35</f>
        <v>0</v>
      </c>
    </row>
    <row r="36" spans="1:17" x14ac:dyDescent="0.25">
      <c r="A36" s="14"/>
      <c r="B36" s="14"/>
      <c r="C36" s="15" t="s">
        <v>56</v>
      </c>
      <c r="D36" s="15" t="s">
        <v>149</v>
      </c>
      <c r="E36" s="49">
        <f>'POSEBNI DIO'!E321</f>
        <v>1031839.15</v>
      </c>
      <c r="F36" s="49">
        <f>'POSEBNI DIO'!F321</f>
        <v>1066934.77</v>
      </c>
      <c r="G36" s="49">
        <f>'POSEBNI DIO'!G321</f>
        <v>1310610</v>
      </c>
      <c r="H36" s="49">
        <f>'POSEBNI DIO'!H321</f>
        <v>1310610</v>
      </c>
      <c r="I36" s="49">
        <f>'POSEBNI DIO'!I321</f>
        <v>1310610</v>
      </c>
      <c r="K36" t="s">
        <v>144</v>
      </c>
      <c r="M36" s="41">
        <v>5339.31</v>
      </c>
    </row>
    <row r="37" spans="1:17" x14ac:dyDescent="0.25">
      <c r="A37" s="43"/>
      <c r="B37" s="44">
        <v>32</v>
      </c>
      <c r="C37" s="44"/>
      <c r="D37" s="44" t="s">
        <v>36</v>
      </c>
      <c r="E37" s="48">
        <f>SUM(E38:E46)</f>
        <v>242711.43</v>
      </c>
      <c r="F37" s="48">
        <f>SUM(F38:F46)</f>
        <v>220228.09</v>
      </c>
      <c r="G37" s="48">
        <f>SUM(G38:G46)</f>
        <v>276588.09999999998</v>
      </c>
      <c r="H37" s="48">
        <f>SUM(H38:H46)</f>
        <v>276588.09999999998</v>
      </c>
      <c r="I37" s="48">
        <f>SUM(I38:I46)</f>
        <v>276588.09999999998</v>
      </c>
      <c r="K37" s="41" t="s">
        <v>146</v>
      </c>
      <c r="L37" s="41"/>
      <c r="M37" s="41">
        <v>43065.24</v>
      </c>
      <c r="N37" s="41">
        <f>F43</f>
        <v>43065.24</v>
      </c>
    </row>
    <row r="38" spans="1:17" x14ac:dyDescent="0.25">
      <c r="A38" s="14"/>
      <c r="B38" s="14"/>
      <c r="C38" s="15" t="s">
        <v>54</v>
      </c>
      <c r="D38" s="15" t="s">
        <v>18</v>
      </c>
      <c r="E38" s="49">
        <f>'POSEBNI DIO'!E58+'POSEBNI DIO'!E67+'POSEBNI DIO'!E73+'POSEBNI DIO'!E78+'POSEBNI DIO'!E106+'POSEBNI DIO'!E125+'POSEBNI DIO'!E144+'POSEBNI DIO'!E163+'POSEBNI DIO'!E182+'POSEBNI DIO'!E87+'POSEBNI DIO'!E215</f>
        <v>52566.37</v>
      </c>
      <c r="F38" s="49">
        <f>'POSEBNI DIO'!F58+'POSEBNI DIO'!F67+'POSEBNI DIO'!F73+'POSEBNI DIO'!F78+'POSEBNI DIO'!F87+'POSEBNI DIO'!F106+'POSEBNI DIO'!F125+'POSEBNI DIO'!F144+'POSEBNI DIO'!F163+'POSEBNI DIO'!F182+'POSEBNI DIO'!F215</f>
        <v>3882.35</v>
      </c>
      <c r="G38" s="49">
        <f>'POSEBNI DIO'!G58+'POSEBNI DIO'!G67+'POSEBNI DIO'!G73+'POSEBNI DIO'!G78+'POSEBNI DIO'!G87+'POSEBNI DIO'!G106+'POSEBNI DIO'!G125+'POSEBNI DIO'!G144+'POSEBNI DIO'!G163+'POSEBNI DIO'!G182+'POSEBNI DIO'!G215</f>
        <v>4314.6000000000004</v>
      </c>
      <c r="H38" s="49">
        <f>'POSEBNI DIO'!H58+'POSEBNI DIO'!H67+'POSEBNI DIO'!H73+'POSEBNI DIO'!H78+'POSEBNI DIO'!H87+'POSEBNI DIO'!H106+'POSEBNI DIO'!H125+'POSEBNI DIO'!H144+'POSEBNI DIO'!H163+'POSEBNI DIO'!H182+'POSEBNI DIO'!H215</f>
        <v>4314.6000000000004</v>
      </c>
      <c r="I38" s="49">
        <f>'POSEBNI DIO'!I58+'POSEBNI DIO'!I67+'POSEBNI DIO'!I73+'POSEBNI DIO'!I78+'POSEBNI DIO'!I87+'POSEBNI DIO'!I106+'POSEBNI DIO'!I125+'POSEBNI DIO'!I144+'POSEBNI DIO'!I163+'POSEBNI DIO'!I182+'POSEBNI DIO'!I215</f>
        <v>4314.6000000000004</v>
      </c>
      <c r="K38" t="s">
        <v>148</v>
      </c>
      <c r="M38" s="41">
        <v>1188824.1499999999</v>
      </c>
      <c r="N38" s="41">
        <f>E36+E44+E50+E66</f>
        <v>1133509.1499999999</v>
      </c>
    </row>
    <row r="39" spans="1:17" x14ac:dyDescent="0.25">
      <c r="A39" s="14"/>
      <c r="B39" s="29"/>
      <c r="C39" s="15" t="s">
        <v>159</v>
      </c>
      <c r="D39" s="15" t="s">
        <v>160</v>
      </c>
      <c r="E39" s="49">
        <f>'POSEBNI DIO'!E22+'POSEBNI DIO'!E47+'POSEBNI DIO'!E53</f>
        <v>49973.32</v>
      </c>
      <c r="F39" s="49">
        <f>'POSEBNI DIO'!F22+'POSEBNI DIO'!F47</f>
        <v>46283.62</v>
      </c>
      <c r="G39" s="49">
        <f>'POSEBNI DIO'!G22+'POSEBNI DIO'!G47</f>
        <v>44840</v>
      </c>
      <c r="H39" s="49">
        <f>'POSEBNI DIO'!H22+'POSEBNI DIO'!H47</f>
        <v>44840</v>
      </c>
      <c r="I39" s="49">
        <f>'POSEBNI DIO'!I22+'POSEBNI DIO'!I47</f>
        <v>44840</v>
      </c>
      <c r="K39" t="s">
        <v>232</v>
      </c>
      <c r="M39" s="41">
        <v>530.89</v>
      </c>
    </row>
    <row r="40" spans="1:17" x14ac:dyDescent="0.25">
      <c r="A40" s="14"/>
      <c r="B40" s="14"/>
      <c r="C40" s="15" t="s">
        <v>261</v>
      </c>
      <c r="D40" s="15" t="s">
        <v>161</v>
      </c>
      <c r="E40" s="49">
        <f>'POSEBNI DIO'!E115+'POSEBNI DIO'!E134+'POSEBNI DIO'!E153+'POSEBNI DIO'!E172+'POSEBNI DIO'!E96</f>
        <v>1021.08</v>
      </c>
      <c r="F40" s="49">
        <f>'POSEBNI DIO'!F115+'POSEBNI DIO'!F134+'POSEBNI DIO'!F153+'POSEBNI DIO'!F172+'POSEBNI DIO'!F96</f>
        <v>254.74</v>
      </c>
      <c r="G40" s="49">
        <f>'POSEBNI DIO'!G115+'POSEBNI DIO'!G134+'POSEBNI DIO'!G153+'POSEBNI DIO'!G172+'POSEBNI DIO'!G96</f>
        <v>3658</v>
      </c>
      <c r="H40" s="49">
        <f>'POSEBNI DIO'!H115+'POSEBNI DIO'!H134+'POSEBNI DIO'!H153+'POSEBNI DIO'!H172+'POSEBNI DIO'!H96</f>
        <v>3658</v>
      </c>
      <c r="I40" s="49">
        <f>'POSEBNI DIO'!I115+'POSEBNI DIO'!I134+'POSEBNI DIO'!I153+'POSEBNI DIO'!I172+'POSEBNI DIO'!I96+'POSEBNI DIO'!I191</f>
        <v>3658</v>
      </c>
      <c r="K40" t="s">
        <v>206</v>
      </c>
      <c r="M40" s="41">
        <v>862.69</v>
      </c>
    </row>
    <row r="41" spans="1:17" x14ac:dyDescent="0.25">
      <c r="A41" s="14"/>
      <c r="B41" s="29"/>
      <c r="C41" s="15" t="s">
        <v>55</v>
      </c>
      <c r="D41" s="15" t="s">
        <v>40</v>
      </c>
      <c r="E41" s="49">
        <f>'POSEBNI DIO'!E225</f>
        <v>1727.58</v>
      </c>
      <c r="F41" s="49">
        <f>'POSEBNI DIO'!F225+'POSEBNI DIO'!F336+'POSEBNI DIO'!F368+'POSEBNI DIO'!F381</f>
        <v>1911.21</v>
      </c>
      <c r="G41" s="49">
        <f>'POSEBNI DIO'!G225+'POSEBNI DIO'!G336+'POSEBNI DIO'!G368+'POSEBNI DIO'!G381</f>
        <v>3540</v>
      </c>
      <c r="H41" s="49">
        <f>'POSEBNI DIO'!H225+'POSEBNI DIO'!H336+'POSEBNI DIO'!H368+'POSEBNI DIO'!H381</f>
        <v>3540</v>
      </c>
      <c r="I41" s="49">
        <f>'POSEBNI DIO'!I225+'POSEBNI DIO'!I336+'POSEBNI DIO'!I368+'POSEBNI DIO'!I381</f>
        <v>3540</v>
      </c>
      <c r="M41" s="41">
        <v>0</v>
      </c>
    </row>
    <row r="42" spans="1:17" x14ac:dyDescent="0.25">
      <c r="A42" s="14"/>
      <c r="B42" s="29"/>
      <c r="C42" s="15" t="s">
        <v>162</v>
      </c>
      <c r="D42" s="15" t="s">
        <v>163</v>
      </c>
      <c r="E42" s="49">
        <v>0</v>
      </c>
      <c r="F42" s="49">
        <f>'POSEBNI DIO'!F408</f>
        <v>5339.31</v>
      </c>
      <c r="G42" s="49">
        <f>'POSEBNI DIO'!G408</f>
        <v>0</v>
      </c>
      <c r="H42" s="49">
        <f>'POSEBNI DIO'!H408</f>
        <v>0</v>
      </c>
      <c r="I42" s="49">
        <f>'POSEBNI DIO'!I408</f>
        <v>0</v>
      </c>
      <c r="M42" s="41"/>
    </row>
    <row r="43" spans="1:17" x14ac:dyDescent="0.25">
      <c r="A43" s="14"/>
      <c r="B43" s="29"/>
      <c r="C43" s="15" t="s">
        <v>164</v>
      </c>
      <c r="D43" s="15" t="s">
        <v>147</v>
      </c>
      <c r="E43" s="49">
        <f>'POSEBNI DIO'!E277+'POSEBNI DIO'!E344</f>
        <v>44431.51</v>
      </c>
      <c r="F43" s="49">
        <f>'POSEBNI DIO'!F277+'POSEBNI DIO'!F344</f>
        <v>43065.24</v>
      </c>
      <c r="G43" s="49">
        <f>'POSEBNI DIO'!G277+'POSEBNI DIO'!G344</f>
        <v>21450</v>
      </c>
      <c r="H43" s="49">
        <f>'POSEBNI DIO'!H277+'POSEBNI DIO'!H344</f>
        <v>21450</v>
      </c>
      <c r="I43" s="49">
        <f>'POSEBNI DIO'!I277+'POSEBNI DIO'!I344</f>
        <v>21450</v>
      </c>
    </row>
    <row r="44" spans="1:17" x14ac:dyDescent="0.25">
      <c r="A44" s="14"/>
      <c r="B44" s="29"/>
      <c r="C44" s="15" t="s">
        <v>56</v>
      </c>
      <c r="D44" s="15" t="s">
        <v>149</v>
      </c>
      <c r="E44" s="49">
        <f>'POSEBNI DIO'!E287+'POSEBNI DIO'!E326+'POSEBNI DIO'!E349+'POSEBNI DIO'!E372</f>
        <v>92460.68</v>
      </c>
      <c r="F44" s="49">
        <f>'POSEBNI DIO'!F287+'POSEBNI DIO'!F326+'POSEBNI DIO'!F349+'POSEBNI DIO'!F372+'POSEBNI DIO'!F385</f>
        <v>118098.04</v>
      </c>
      <c r="G44" s="49">
        <f>'POSEBNI DIO'!G287+'POSEBNI DIO'!G326+'POSEBNI DIO'!G349+'POSEBNI DIO'!G372+'POSEBNI DIO'!G385</f>
        <v>198185.5</v>
      </c>
      <c r="H44" s="49">
        <f>'POSEBNI DIO'!H287+'POSEBNI DIO'!H326+'POSEBNI DIO'!H349+'POSEBNI DIO'!H372+'POSEBNI DIO'!H385</f>
        <v>198185.5</v>
      </c>
      <c r="I44" s="49">
        <f>'POSEBNI DIO'!I287+'POSEBNI DIO'!I326+'POSEBNI DIO'!I349+'POSEBNI DIO'!I372+'POSEBNI DIO'!I385</f>
        <v>198185.5</v>
      </c>
    </row>
    <row r="45" spans="1:17" x14ac:dyDescent="0.25">
      <c r="A45" s="14"/>
      <c r="B45" s="29"/>
      <c r="C45" s="69" t="s">
        <v>220</v>
      </c>
      <c r="D45" s="15" t="s">
        <v>180</v>
      </c>
      <c r="E45" s="49">
        <f>'POSEBNI DIO'!E359</f>
        <v>0</v>
      </c>
      <c r="F45" s="49">
        <f>'POSEBNI DIO'!F359</f>
        <v>862.69</v>
      </c>
      <c r="G45" s="49">
        <f>'POSEBNI DIO'!G359</f>
        <v>0</v>
      </c>
      <c r="H45" s="49">
        <f>'POSEBNI DIO'!H359</f>
        <v>0</v>
      </c>
      <c r="I45" s="49">
        <f>'POSEBNI DIO'!I359</f>
        <v>0</v>
      </c>
    </row>
    <row r="46" spans="1:17" x14ac:dyDescent="0.25">
      <c r="A46" s="14"/>
      <c r="B46" s="29"/>
      <c r="C46" s="15" t="s">
        <v>165</v>
      </c>
      <c r="D46" s="15" t="s">
        <v>150</v>
      </c>
      <c r="E46" s="49">
        <f>'POSEBNI DIO'!E316</f>
        <v>530.89</v>
      </c>
      <c r="F46" s="49">
        <f>'POSEBNI DIO'!F316</f>
        <v>530.89</v>
      </c>
      <c r="G46" s="49">
        <f>'POSEBNI DIO'!G316</f>
        <v>600</v>
      </c>
      <c r="H46" s="49">
        <f>'POSEBNI DIO'!H316</f>
        <v>600</v>
      </c>
      <c r="I46" s="49">
        <f>'POSEBNI DIO'!I316</f>
        <v>600</v>
      </c>
    </row>
    <row r="47" spans="1:17" x14ac:dyDescent="0.25">
      <c r="A47" s="43"/>
      <c r="B47" s="44">
        <v>34</v>
      </c>
      <c r="C47" s="44"/>
      <c r="D47" s="44" t="s">
        <v>102</v>
      </c>
      <c r="E47" s="102">
        <f>SUM(E48:E51)</f>
        <v>4602.04</v>
      </c>
      <c r="F47" s="102">
        <f t="shared" ref="F47:I47" si="17">SUM(F48:F51)</f>
        <v>1260.8599999999999</v>
      </c>
      <c r="G47" s="102">
        <f t="shared" si="17"/>
        <v>1240</v>
      </c>
      <c r="H47" s="102">
        <f t="shared" si="17"/>
        <v>1240</v>
      </c>
      <c r="I47" s="102">
        <f t="shared" si="17"/>
        <v>1240</v>
      </c>
      <c r="K47" s="41">
        <f>'POSEBNI DIO'!E397</f>
        <v>4602.04</v>
      </c>
      <c r="L47" s="41">
        <f>E47-K47</f>
        <v>0</v>
      </c>
    </row>
    <row r="48" spans="1:17" x14ac:dyDescent="0.25">
      <c r="A48" s="14"/>
      <c r="B48" s="29"/>
      <c r="C48" s="15" t="s">
        <v>159</v>
      </c>
      <c r="D48" s="15" t="s">
        <v>160</v>
      </c>
      <c r="E48" s="49">
        <f>'POSEBNI DIO'!E42</f>
        <v>1021.97</v>
      </c>
      <c r="F48" s="49">
        <f>'POSEBNI DIO'!F42</f>
        <v>1128.1400000000001</v>
      </c>
      <c r="G48" s="49">
        <f>'POSEBNI DIO'!G42</f>
        <v>1150</v>
      </c>
      <c r="H48" s="49">
        <f>'POSEBNI DIO'!H42</f>
        <v>1150</v>
      </c>
      <c r="I48" s="49">
        <f>'POSEBNI DIO'!I42</f>
        <v>1150</v>
      </c>
    </row>
    <row r="49" spans="1:14" x14ac:dyDescent="0.25">
      <c r="A49" s="14"/>
      <c r="B49" s="29"/>
      <c r="C49" s="15" t="s">
        <v>55</v>
      </c>
      <c r="D49" s="15" t="s">
        <v>40</v>
      </c>
      <c r="E49" s="49">
        <f>'POSEBNI DIO'!E239</f>
        <v>50.05</v>
      </c>
      <c r="F49" s="49">
        <f>'POSEBNI DIO'!F239</f>
        <v>0</v>
      </c>
      <c r="G49" s="49">
        <f>'POSEBNI DIO'!G239</f>
        <v>70</v>
      </c>
      <c r="H49" s="49">
        <f>'POSEBNI DIO'!H239</f>
        <v>70</v>
      </c>
      <c r="I49" s="49">
        <f>'POSEBNI DIO'!I239</f>
        <v>70</v>
      </c>
    </row>
    <row r="50" spans="1:14" x14ac:dyDescent="0.25">
      <c r="A50" s="14"/>
      <c r="B50" s="29"/>
      <c r="C50" s="15" t="s">
        <v>56</v>
      </c>
      <c r="D50" s="15" t="s">
        <v>149</v>
      </c>
      <c r="E50" s="49">
        <f>'POSEBNI DIO'!E307+'POSEBNI DIO'!E331+'POSEBNI DIO'!E374</f>
        <v>3530.02</v>
      </c>
      <c r="F50" s="49">
        <f>'POSEBNI DIO'!F307+'POSEBNI DIO'!F331+'POSEBNI DIO'!F374</f>
        <v>132.72</v>
      </c>
      <c r="G50" s="49">
        <f>'POSEBNI DIO'!G307+'POSEBNI DIO'!G331+'POSEBNI DIO'!G374</f>
        <v>20</v>
      </c>
      <c r="H50" s="49">
        <f>'POSEBNI DIO'!H307+'POSEBNI DIO'!H331+'POSEBNI DIO'!H374</f>
        <v>20</v>
      </c>
      <c r="I50" s="49">
        <f>'POSEBNI DIO'!I307+'POSEBNI DIO'!I331+'POSEBNI DIO'!I374</f>
        <v>20</v>
      </c>
    </row>
    <row r="51" spans="1:14" x14ac:dyDescent="0.25">
      <c r="A51" s="14"/>
      <c r="B51" s="14"/>
      <c r="C51" s="15" t="s">
        <v>221</v>
      </c>
      <c r="D51" s="15" t="s">
        <v>150</v>
      </c>
      <c r="E51" s="49">
        <v>0</v>
      </c>
      <c r="F51" s="49"/>
      <c r="G51" s="49"/>
      <c r="H51" s="49"/>
      <c r="I51" s="49"/>
    </row>
    <row r="52" spans="1:14" x14ac:dyDescent="0.25">
      <c r="A52" s="43"/>
      <c r="B52" s="44">
        <v>38</v>
      </c>
      <c r="C52" s="44"/>
      <c r="D52" s="44" t="s">
        <v>106</v>
      </c>
      <c r="E52" s="48">
        <f t="shared" ref="E52:I54" si="18">SUM(E53:E53)</f>
        <v>0</v>
      </c>
      <c r="F52" s="48">
        <f t="shared" si="18"/>
        <v>0</v>
      </c>
      <c r="G52" s="48">
        <f t="shared" si="18"/>
        <v>0</v>
      </c>
      <c r="H52" s="48">
        <f t="shared" si="18"/>
        <v>0</v>
      </c>
      <c r="I52" s="48">
        <f t="shared" si="18"/>
        <v>0</v>
      </c>
      <c r="K52" s="41">
        <f>'POSEBNI DIO'!E398</f>
        <v>3098.03</v>
      </c>
      <c r="L52" s="41"/>
    </row>
    <row r="53" spans="1:14" x14ac:dyDescent="0.25">
      <c r="A53" s="14"/>
      <c r="B53" s="14"/>
      <c r="C53" s="15" t="s">
        <v>166</v>
      </c>
      <c r="D53" s="15" t="s">
        <v>167</v>
      </c>
      <c r="E53" s="49"/>
      <c r="F53" s="49"/>
      <c r="G53" s="49"/>
      <c r="H53" s="49"/>
      <c r="I53" s="49"/>
    </row>
    <row r="54" spans="1:14" ht="24" customHeight="1" x14ac:dyDescent="0.25">
      <c r="A54" s="43"/>
      <c r="B54" s="44">
        <v>37</v>
      </c>
      <c r="C54" s="44"/>
      <c r="D54" s="44" t="s">
        <v>143</v>
      </c>
      <c r="E54" s="48">
        <f t="shared" si="18"/>
        <v>3098.03</v>
      </c>
      <c r="F54" s="48">
        <f t="shared" si="18"/>
        <v>2256.29</v>
      </c>
      <c r="G54" s="48">
        <f>SUM(G55:G55)</f>
        <v>1000</v>
      </c>
      <c r="H54" s="48">
        <f t="shared" ref="H54:I54" si="19">SUM(H55:H55)</f>
        <v>1000</v>
      </c>
      <c r="I54" s="48">
        <f t="shared" si="19"/>
        <v>1000</v>
      </c>
      <c r="K54" s="41"/>
      <c r="L54" s="41"/>
    </row>
    <row r="55" spans="1:14" x14ac:dyDescent="0.25">
      <c r="A55" s="14"/>
      <c r="B55" s="14"/>
      <c r="C55" s="15" t="s">
        <v>166</v>
      </c>
      <c r="D55" s="15" t="s">
        <v>167</v>
      </c>
      <c r="E55" s="49">
        <f>'POSEBNI DIO'!E10</f>
        <v>3098.03</v>
      </c>
      <c r="F55" s="49">
        <f>'POSEBNI DIO'!F10</f>
        <v>2256.29</v>
      </c>
      <c r="G55" s="49">
        <f>'POSEBNI DIO'!G10</f>
        <v>1000</v>
      </c>
      <c r="H55" s="49">
        <f>'POSEBNI DIO'!H10</f>
        <v>1000</v>
      </c>
      <c r="I55" s="49">
        <f>'POSEBNI DIO'!I10</f>
        <v>1000</v>
      </c>
    </row>
    <row r="56" spans="1:14" x14ac:dyDescent="0.25">
      <c r="A56" s="43"/>
      <c r="B56" s="44">
        <v>38</v>
      </c>
      <c r="C56" s="44"/>
      <c r="D56" s="44" t="s">
        <v>105</v>
      </c>
      <c r="E56" s="48">
        <f>SUM(E57:E58)</f>
        <v>0</v>
      </c>
      <c r="F56" s="48">
        <f>SUM(F58:F58)</f>
        <v>0</v>
      </c>
      <c r="G56" s="48">
        <f>SUM(G58:G58)</f>
        <v>0</v>
      </c>
      <c r="H56" s="48">
        <f>SUM(H58:H58)</f>
        <v>0</v>
      </c>
      <c r="I56" s="48">
        <f>SUM(I58:I58)</f>
        <v>0</v>
      </c>
      <c r="K56" s="41">
        <f>'POSEBNI DIO'!E399</f>
        <v>0</v>
      </c>
      <c r="L56" s="41">
        <f>E56-K56</f>
        <v>0</v>
      </c>
    </row>
    <row r="57" spans="1:14" x14ac:dyDescent="0.25">
      <c r="A57" s="14"/>
      <c r="B57" s="29"/>
      <c r="C57" s="15" t="s">
        <v>162</v>
      </c>
      <c r="D57" s="15" t="s">
        <v>163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</row>
    <row r="58" spans="1:14" x14ac:dyDescent="0.25">
      <c r="A58" s="14"/>
      <c r="B58" s="14"/>
      <c r="C58" s="15" t="s">
        <v>221</v>
      </c>
      <c r="D58" s="15" t="s">
        <v>150</v>
      </c>
      <c r="E58" s="49">
        <v>0</v>
      </c>
      <c r="F58" s="49"/>
      <c r="G58" s="49">
        <f>'POSEBNI DIO'!G14</f>
        <v>0</v>
      </c>
      <c r="H58" s="49">
        <f>'POSEBNI DIO'!H14</f>
        <v>0</v>
      </c>
      <c r="I58" s="49">
        <f>'POSEBNI DIO'!I14</f>
        <v>0</v>
      </c>
    </row>
    <row r="59" spans="1:14" ht="25.5" x14ac:dyDescent="0.25">
      <c r="A59" s="52">
        <v>4</v>
      </c>
      <c r="B59" s="53"/>
      <c r="C59" s="53"/>
      <c r="D59" s="54" t="s">
        <v>24</v>
      </c>
      <c r="E59" s="51">
        <f>E60+E67</f>
        <v>90524.46</v>
      </c>
      <c r="F59" s="51">
        <f t="shared" ref="F59:I59" si="20">F60+F67</f>
        <v>4985.8500000000004</v>
      </c>
      <c r="G59" s="51">
        <f t="shared" si="20"/>
        <v>7060</v>
      </c>
      <c r="H59" s="51">
        <f t="shared" si="20"/>
        <v>7060</v>
      </c>
      <c r="I59" s="51">
        <f t="shared" si="20"/>
        <v>7060</v>
      </c>
    </row>
    <row r="60" spans="1:14" ht="33" customHeight="1" x14ac:dyDescent="0.25">
      <c r="A60" s="43"/>
      <c r="B60" s="44">
        <v>42</v>
      </c>
      <c r="C60" s="44"/>
      <c r="D60" s="44" t="s">
        <v>25</v>
      </c>
      <c r="E60" s="102">
        <f>SUM(E61:E66)</f>
        <v>58339.18</v>
      </c>
      <c r="F60" s="102">
        <f t="shared" ref="F60:I60" si="21">SUM(F61:F66)</f>
        <v>4985.8500000000004</v>
      </c>
      <c r="G60" s="102">
        <f t="shared" si="21"/>
        <v>7060</v>
      </c>
      <c r="H60" s="102">
        <f t="shared" si="21"/>
        <v>7060</v>
      </c>
      <c r="I60" s="102">
        <f t="shared" si="21"/>
        <v>7060</v>
      </c>
      <c r="K60" s="41">
        <f>'POSEBNI DIO'!E400</f>
        <v>58339.18</v>
      </c>
      <c r="L60" s="41"/>
    </row>
    <row r="61" spans="1:14" x14ac:dyDescent="0.25">
      <c r="A61" s="14"/>
      <c r="B61" s="14"/>
      <c r="C61" s="15" t="s">
        <v>54</v>
      </c>
      <c r="D61" s="15" t="s">
        <v>18</v>
      </c>
      <c r="E61" s="49">
        <f>'POSEBNI DIO'!E16+'POSEBNI DIO'!E198</f>
        <v>48201.99</v>
      </c>
      <c r="F61" s="49">
        <f>'POSEBNI DIO'!F16+'POSEBNI DIO'!F198</f>
        <v>0</v>
      </c>
      <c r="G61" s="49">
        <f>'POSEBNI DIO'!G16+'POSEBNI DIO'!G198</f>
        <v>0</v>
      </c>
      <c r="H61" s="49">
        <f>'POSEBNI DIO'!H16+'POSEBNI DIO'!H198</f>
        <v>0</v>
      </c>
      <c r="I61" s="49">
        <f>'POSEBNI DIO'!I16+'POSEBNI DIO'!I198</f>
        <v>0</v>
      </c>
      <c r="K61" s="41" t="s">
        <v>243</v>
      </c>
      <c r="M61" s="41">
        <v>58339.18</v>
      </c>
      <c r="N61" s="41">
        <f>E60-M61</f>
        <v>0</v>
      </c>
    </row>
    <row r="62" spans="1:14" x14ac:dyDescent="0.25">
      <c r="A62" s="14"/>
      <c r="B62" s="29"/>
      <c r="C62" s="15" t="s">
        <v>159</v>
      </c>
      <c r="D62" s="15" t="s">
        <v>160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</row>
    <row r="63" spans="1:14" x14ac:dyDescent="0.25">
      <c r="A63" s="14"/>
      <c r="B63" s="29"/>
      <c r="C63" s="15" t="s">
        <v>55</v>
      </c>
      <c r="D63" s="15" t="s">
        <v>40</v>
      </c>
      <c r="E63" s="49">
        <f>'POSEBNI DIO'!E243</f>
        <v>4443.63</v>
      </c>
      <c r="F63" s="49">
        <f>'POSEBNI DIO'!F243+'POSEBNI DIO'!F340</f>
        <v>1327.23</v>
      </c>
      <c r="G63" s="49">
        <f>'POSEBNI DIO'!G243+'POSEBNI DIO'!G340</f>
        <v>3100</v>
      </c>
      <c r="H63" s="49">
        <f>'POSEBNI DIO'!H243+'POSEBNI DIO'!H340</f>
        <v>3100</v>
      </c>
      <c r="I63" s="49">
        <f>'POSEBNI DIO'!I243+'POSEBNI DIO'!I340</f>
        <v>3100</v>
      </c>
    </row>
    <row r="64" spans="1:14" x14ac:dyDescent="0.25">
      <c r="A64" s="14"/>
      <c r="B64" s="29"/>
      <c r="C64" s="15" t="s">
        <v>164</v>
      </c>
      <c r="D64" s="15" t="s">
        <v>147</v>
      </c>
      <c r="E64" s="49">
        <f>'POSEBNI DIO'!E283</f>
        <v>14.26</v>
      </c>
      <c r="F64" s="49">
        <f>'POSEBNI DIO'!F283</f>
        <v>0</v>
      </c>
      <c r="G64" s="49">
        <f>'POSEBNI DIO'!G283</f>
        <v>10</v>
      </c>
      <c r="H64" s="49">
        <f>'POSEBNI DIO'!H283</f>
        <v>10</v>
      </c>
      <c r="I64" s="49">
        <f>'POSEBNI DIO'!I283</f>
        <v>10</v>
      </c>
    </row>
    <row r="65" spans="1:13" x14ac:dyDescent="0.25">
      <c r="A65" s="14"/>
      <c r="B65" s="29"/>
      <c r="C65" s="15" t="s">
        <v>162</v>
      </c>
      <c r="D65" s="15" t="s">
        <v>163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</row>
    <row r="66" spans="1:13" x14ac:dyDescent="0.25">
      <c r="A66" s="14"/>
      <c r="B66" s="29"/>
      <c r="C66" s="15" t="s">
        <v>56</v>
      </c>
      <c r="D66" s="15" t="s">
        <v>149</v>
      </c>
      <c r="E66" s="49">
        <f>'POSEBNI DIO'!E310+'POSEBNI DIO'!E357+'POSEBNI DIO'!E376</f>
        <v>5679.3</v>
      </c>
      <c r="F66" s="49">
        <f>'POSEBNI DIO'!F310+'POSEBNI DIO'!F357+'POSEBNI DIO'!F376</f>
        <v>3658.62</v>
      </c>
      <c r="G66" s="49">
        <f>'POSEBNI DIO'!G310+'POSEBNI DIO'!G357+'POSEBNI DIO'!G376</f>
        <v>3950</v>
      </c>
      <c r="H66" s="49">
        <f>'POSEBNI DIO'!H310+'POSEBNI DIO'!H357+'POSEBNI DIO'!H376</f>
        <v>3950</v>
      </c>
      <c r="I66" s="49">
        <f>'POSEBNI DIO'!I310+'POSEBNI DIO'!I357+'POSEBNI DIO'!I376</f>
        <v>3950</v>
      </c>
    </row>
    <row r="67" spans="1:13" ht="25.5" x14ac:dyDescent="0.25">
      <c r="A67" s="43"/>
      <c r="B67" s="44">
        <v>45</v>
      </c>
      <c r="C67" s="44"/>
      <c r="D67" s="44" t="s">
        <v>255</v>
      </c>
      <c r="E67" s="48">
        <f>E68</f>
        <v>32185.279999999999</v>
      </c>
      <c r="F67" s="48">
        <f t="shared" ref="F67:I67" si="22">F68</f>
        <v>0</v>
      </c>
      <c r="G67" s="48">
        <f t="shared" si="22"/>
        <v>0</v>
      </c>
      <c r="H67" s="48">
        <f t="shared" si="22"/>
        <v>0</v>
      </c>
      <c r="I67" s="48">
        <f t="shared" si="22"/>
        <v>0</v>
      </c>
      <c r="K67" s="41">
        <f>'POSEBNI DIO'!E406</f>
        <v>32233.15</v>
      </c>
      <c r="L67" s="41"/>
    </row>
    <row r="68" spans="1:13" x14ac:dyDescent="0.25">
      <c r="A68" s="14"/>
      <c r="B68" s="14"/>
      <c r="C68" s="15" t="s">
        <v>54</v>
      </c>
      <c r="D68" s="15" t="s">
        <v>18</v>
      </c>
      <c r="E68" s="49">
        <f>'POSEBNI DIO'!E204</f>
        <v>32185.279999999999</v>
      </c>
      <c r="F68" s="49">
        <f>'POSEBNI DIO'!F204</f>
        <v>0</v>
      </c>
      <c r="G68" s="49">
        <f>'POSEBNI DIO'!G204</f>
        <v>0</v>
      </c>
      <c r="H68" s="49">
        <f>'POSEBNI DIO'!H204</f>
        <v>0</v>
      </c>
      <c r="I68" s="49">
        <f>'POSEBNI DIO'!I204</f>
        <v>0</v>
      </c>
      <c r="K68" s="41" t="s">
        <v>243</v>
      </c>
      <c r="M68" s="41">
        <v>32233.14</v>
      </c>
    </row>
    <row r="70" spans="1:13" x14ac:dyDescent="0.25">
      <c r="A70" t="s">
        <v>246</v>
      </c>
      <c r="E70" t="s">
        <v>247</v>
      </c>
      <c r="H70" s="41" t="s">
        <v>248</v>
      </c>
    </row>
    <row r="71" spans="1:13" x14ac:dyDescent="0.25">
      <c r="A71" t="s">
        <v>249</v>
      </c>
      <c r="E71" t="s">
        <v>250</v>
      </c>
      <c r="H71" s="41" t="s">
        <v>251</v>
      </c>
    </row>
  </sheetData>
  <mergeCells count="5">
    <mergeCell ref="A7:I7"/>
    <mergeCell ref="A28:I28"/>
    <mergeCell ref="A1:I1"/>
    <mergeCell ref="A3:I3"/>
    <mergeCell ref="A5:I5"/>
  </mergeCells>
  <pageMargins left="0.7" right="0.7" top="0.75" bottom="0.75" header="0.3" footer="0.3"/>
  <pageSetup paperSize="9" scale="69" orientation="landscape" r:id="rId1"/>
  <rowBreaks count="1" manualBreakCount="1">
    <brk id="27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view="pageBreakPreview" zoomScaleNormal="100" zoomScaleSheetLayoutView="100" workbookViewId="0">
      <selection sqref="A1:F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35" t="s">
        <v>270</v>
      </c>
      <c r="B1" s="135"/>
      <c r="C1" s="135"/>
      <c r="D1" s="135"/>
      <c r="E1" s="135"/>
      <c r="F1" s="135"/>
    </row>
    <row r="2" spans="1:6" ht="18" customHeight="1" x14ac:dyDescent="0.25">
      <c r="A2" s="27"/>
      <c r="B2" s="27"/>
      <c r="C2" s="27"/>
      <c r="D2" s="27"/>
      <c r="E2" s="27"/>
      <c r="F2" s="27"/>
    </row>
    <row r="3" spans="1:6" ht="15.75" x14ac:dyDescent="0.25">
      <c r="A3" s="135" t="s">
        <v>33</v>
      </c>
      <c r="B3" s="135"/>
      <c r="C3" s="135"/>
      <c r="D3" s="135"/>
      <c r="E3" s="152"/>
      <c r="F3" s="152"/>
    </row>
    <row r="4" spans="1:6" ht="18" x14ac:dyDescent="0.25">
      <c r="A4" s="27"/>
      <c r="B4" s="27"/>
      <c r="C4" s="27"/>
      <c r="D4" s="27"/>
      <c r="E4" s="6"/>
      <c r="F4" s="6"/>
    </row>
    <row r="5" spans="1:6" ht="18" customHeight="1" x14ac:dyDescent="0.25">
      <c r="A5" s="135" t="s">
        <v>13</v>
      </c>
      <c r="B5" s="136"/>
      <c r="C5" s="136"/>
      <c r="D5" s="136"/>
      <c r="E5" s="136"/>
      <c r="F5" s="136"/>
    </row>
    <row r="6" spans="1:6" ht="18" x14ac:dyDescent="0.25">
      <c r="A6" s="27"/>
      <c r="B6" s="27"/>
      <c r="C6" s="27"/>
      <c r="D6" s="27"/>
      <c r="E6" s="6"/>
      <c r="F6" s="6"/>
    </row>
    <row r="7" spans="1:6" ht="15.75" x14ac:dyDescent="0.25">
      <c r="A7" s="135" t="s">
        <v>26</v>
      </c>
      <c r="B7" s="156"/>
      <c r="C7" s="156"/>
      <c r="D7" s="156"/>
      <c r="E7" s="156"/>
      <c r="F7" s="156"/>
    </row>
    <row r="8" spans="1:6" ht="18" x14ac:dyDescent="0.25">
      <c r="A8" s="27"/>
      <c r="B8" s="27"/>
      <c r="C8" s="27"/>
      <c r="D8" s="27"/>
      <c r="E8" s="6"/>
      <c r="F8" s="6"/>
    </row>
    <row r="9" spans="1:6" ht="25.5" x14ac:dyDescent="0.25">
      <c r="A9" s="23" t="s">
        <v>27</v>
      </c>
      <c r="B9" s="22" t="s">
        <v>252</v>
      </c>
      <c r="C9" s="23" t="s">
        <v>253</v>
      </c>
      <c r="D9" s="23" t="s">
        <v>46</v>
      </c>
      <c r="E9" s="23" t="s">
        <v>47</v>
      </c>
      <c r="F9" s="23" t="s">
        <v>48</v>
      </c>
    </row>
    <row r="10" spans="1:6" ht="15.75" customHeight="1" x14ac:dyDescent="0.25">
      <c r="A10" s="13" t="s">
        <v>28</v>
      </c>
      <c r="B10" s="106">
        <f>B11</f>
        <v>1412813.27</v>
      </c>
      <c r="C10" s="106">
        <f>C11</f>
        <v>1325588.23</v>
      </c>
      <c r="D10" s="106">
        <f t="shared" ref="D10:F10" si="0">D11</f>
        <v>1649722.5</v>
      </c>
      <c r="E10" s="106">
        <f t="shared" si="0"/>
        <v>1649722.5</v>
      </c>
      <c r="F10" s="106">
        <f t="shared" si="0"/>
        <v>1649722.5</v>
      </c>
    </row>
    <row r="11" spans="1:6" ht="15.75" customHeight="1" x14ac:dyDescent="0.25">
      <c r="A11" s="13" t="s">
        <v>154</v>
      </c>
      <c r="B11" s="106">
        <f>B12+B14+B16+B18</f>
        <v>1412813.27</v>
      </c>
      <c r="C11" s="106">
        <f>C12+C14+C16+C18</f>
        <v>1325588.23</v>
      </c>
      <c r="D11" s="106">
        <f t="shared" ref="D11:F11" si="1">D12+D14+D16+D18</f>
        <v>1649722.5</v>
      </c>
      <c r="E11" s="106">
        <f t="shared" si="1"/>
        <v>1649722.5</v>
      </c>
      <c r="F11" s="106">
        <f t="shared" si="1"/>
        <v>1649722.5</v>
      </c>
    </row>
    <row r="12" spans="1:6" x14ac:dyDescent="0.25">
      <c r="A12" s="18" t="s">
        <v>155</v>
      </c>
      <c r="B12" s="105">
        <f>B13</f>
        <v>1151475.82</v>
      </c>
      <c r="C12" s="105">
        <f>C13</f>
        <v>1184112.8899999999</v>
      </c>
      <c r="D12" s="105">
        <f t="shared" ref="D12:F12" si="2">D13</f>
        <v>1498873.2</v>
      </c>
      <c r="E12" s="105">
        <f t="shared" si="2"/>
        <v>1498873.2</v>
      </c>
      <c r="F12" s="105">
        <f t="shared" si="2"/>
        <v>1498873.2</v>
      </c>
    </row>
    <row r="13" spans="1:6" x14ac:dyDescent="0.25">
      <c r="A13" s="17" t="s">
        <v>156</v>
      </c>
      <c r="B13" s="105">
        <f>'POSEBNI DIO'!E4-'Rashodi prema funkcijskoj kl'!B14-B16-B18</f>
        <v>1151475.82</v>
      </c>
      <c r="C13" s="105">
        <v>1184112.8899999999</v>
      </c>
      <c r="D13" s="105">
        <f>'POSEBNI DIO'!G4-'Rashodi prema funkcijskoj kl'!D14-D16-D18</f>
        <v>1498873.2</v>
      </c>
      <c r="E13" s="105">
        <f>'POSEBNI DIO'!H4-'Rashodi prema funkcijskoj kl'!E14-E16-E18</f>
        <v>1498873.2</v>
      </c>
      <c r="F13" s="105">
        <f>'POSEBNI DIO'!I4-'Rashodi prema funkcijskoj kl'!F14-F16-F18</f>
        <v>1498873.2</v>
      </c>
    </row>
    <row r="14" spans="1:6" x14ac:dyDescent="0.25">
      <c r="A14" s="18" t="s">
        <v>157</v>
      </c>
      <c r="B14" s="113">
        <f>B15</f>
        <v>220189.86</v>
      </c>
      <c r="C14" s="113">
        <f>C15</f>
        <v>26235.040000000001</v>
      </c>
      <c r="D14" s="113">
        <f t="shared" ref="D14:F14" si="3">D15</f>
        <v>147217.5</v>
      </c>
      <c r="E14" s="113">
        <f t="shared" si="3"/>
        <v>147217.5</v>
      </c>
      <c r="F14" s="113">
        <f t="shared" si="3"/>
        <v>147217.5</v>
      </c>
    </row>
    <row r="15" spans="1:6" x14ac:dyDescent="0.25">
      <c r="A15" s="17" t="s">
        <v>158</v>
      </c>
      <c r="B15" s="105">
        <f>'POSEBNI DIO'!E13+'POSEBNI DIO'!E44+'POSEBNI DIO'!E194+'POSEBNI DIO'!E211+'POSEBNI DIO'!E346+'POSEBNI DIO'!E351+'POSEBNI DIO'!E357+'POSEBNI DIO'!E370</f>
        <v>220189.86</v>
      </c>
      <c r="C15" s="105">
        <v>26235.040000000001</v>
      </c>
      <c r="D15" s="105">
        <f>'POSEBNI DIO'!G13+'POSEBNI DIO'!G44+'POSEBNI DIO'!G194+'POSEBNI DIO'!G211+'POSEBNI DIO'!G346+'POSEBNI DIO'!G351+'POSEBNI DIO'!G357+'POSEBNI DIO'!G370</f>
        <v>147217.5</v>
      </c>
      <c r="E15" s="105">
        <f>'POSEBNI DIO'!H13+'POSEBNI DIO'!H44+'POSEBNI DIO'!H194+'POSEBNI DIO'!H211+'POSEBNI DIO'!H346+'POSEBNI DIO'!H351+'POSEBNI DIO'!H357+'POSEBNI DIO'!H370</f>
        <v>147217.5</v>
      </c>
      <c r="F15" s="105">
        <f>'POSEBNI DIO'!I13+'POSEBNI DIO'!I44+'POSEBNI DIO'!I194+'POSEBNI DIO'!I211+'POSEBNI DIO'!I346+'POSEBNI DIO'!I351+'POSEBNI DIO'!I357+'POSEBNI DIO'!I370</f>
        <v>147217.5</v>
      </c>
    </row>
    <row r="16" spans="1:6" x14ac:dyDescent="0.25">
      <c r="A16" s="18" t="s">
        <v>244</v>
      </c>
      <c r="B16" s="113">
        <f>B17</f>
        <v>663.61</v>
      </c>
      <c r="C16" s="113">
        <f>C17</f>
        <v>663.61</v>
      </c>
      <c r="D16" s="113">
        <f t="shared" ref="D16:F16" si="4">D17</f>
        <v>666</v>
      </c>
      <c r="E16" s="113">
        <f t="shared" si="4"/>
        <v>666</v>
      </c>
      <c r="F16" s="113">
        <f t="shared" si="4"/>
        <v>666</v>
      </c>
    </row>
    <row r="17" spans="1:6" x14ac:dyDescent="0.25">
      <c r="A17" s="17" t="s">
        <v>245</v>
      </c>
      <c r="B17" s="105">
        <f>'POSEBNI DIO'!E55</f>
        <v>663.61</v>
      </c>
      <c r="C17" s="105">
        <v>663.61</v>
      </c>
      <c r="D17" s="105">
        <f>'POSEBNI DIO'!G55</f>
        <v>666</v>
      </c>
      <c r="E17" s="105">
        <f>'POSEBNI DIO'!H55</f>
        <v>666</v>
      </c>
      <c r="F17" s="105">
        <f>'POSEBNI DIO'!I55</f>
        <v>666</v>
      </c>
    </row>
    <row r="18" spans="1:6" ht="25.5" x14ac:dyDescent="0.25">
      <c r="A18" s="18" t="s">
        <v>241</v>
      </c>
      <c r="B18" s="110">
        <f>B19</f>
        <v>40483.980000000003</v>
      </c>
      <c r="C18" s="105">
        <f>C19</f>
        <v>114576.69</v>
      </c>
      <c r="D18" s="105">
        <f t="shared" ref="D18:F18" si="5">D19</f>
        <v>2965.8</v>
      </c>
      <c r="E18" s="105">
        <f t="shared" si="5"/>
        <v>2965.8</v>
      </c>
      <c r="F18" s="105">
        <f t="shared" si="5"/>
        <v>2965.8</v>
      </c>
    </row>
    <row r="19" spans="1:6" ht="25.5" x14ac:dyDescent="0.25">
      <c r="A19" s="68" t="s">
        <v>235</v>
      </c>
      <c r="B19" s="105">
        <f>'POSEBNI DIO'!E64+'POSEBNI DIO'!E70+'POSEBNI DIO'!E75+'POSEBNI DIO'!E80+'POSEBNI DIO'!E99</f>
        <v>40483.980000000003</v>
      </c>
      <c r="C19" s="105">
        <v>114576.69</v>
      </c>
      <c r="D19" s="105">
        <f>'POSEBNI DIO'!G64+'POSEBNI DIO'!G70+'POSEBNI DIO'!G75+'POSEBNI DIO'!G80+'POSEBNI DIO'!G99</f>
        <v>2965.8</v>
      </c>
      <c r="E19" s="105">
        <f>'POSEBNI DIO'!H64+'POSEBNI DIO'!H70+'POSEBNI DIO'!H75+'POSEBNI DIO'!H80+'POSEBNI DIO'!H99</f>
        <v>2965.8</v>
      </c>
      <c r="F19" s="105">
        <f>'POSEBNI DIO'!I64+'POSEBNI DIO'!I70+'POSEBNI DIO'!I75+'POSEBNI DIO'!I80+'POSEBNI DIO'!I99</f>
        <v>2965.8</v>
      </c>
    </row>
    <row r="21" spans="1:6" x14ac:dyDescent="0.25">
      <c r="A21" t="s">
        <v>246</v>
      </c>
      <c r="B21" t="s">
        <v>247</v>
      </c>
      <c r="E21" t="s">
        <v>248</v>
      </c>
    </row>
    <row r="22" spans="1:6" x14ac:dyDescent="0.25">
      <c r="A22" t="s">
        <v>249</v>
      </c>
      <c r="B22" t="s">
        <v>250</v>
      </c>
      <c r="E22" t="s">
        <v>251</v>
      </c>
    </row>
    <row r="24" spans="1:6" x14ac:dyDescent="0.25">
      <c r="D24" s="41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view="pageBreakPreview" zoomScaleNormal="100" zoomScaleSheetLayoutView="100"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5" width="19.28515625" customWidth="1"/>
    <col min="6" max="7" width="18.42578125" customWidth="1"/>
    <col min="8" max="8" width="18.28515625" customWidth="1"/>
    <col min="9" max="9" width="19.140625" customWidth="1"/>
  </cols>
  <sheetData>
    <row r="1" spans="1:9" ht="42" customHeight="1" x14ac:dyDescent="0.25">
      <c r="A1" s="189" t="s">
        <v>272</v>
      </c>
      <c r="B1" s="189"/>
      <c r="C1" s="189"/>
      <c r="D1" s="189"/>
      <c r="E1" s="189"/>
      <c r="F1" s="189"/>
      <c r="G1" s="189"/>
      <c r="H1" s="189"/>
      <c r="I1" s="189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35" t="s">
        <v>33</v>
      </c>
      <c r="B3" s="135"/>
      <c r="C3" s="135"/>
      <c r="D3" s="135"/>
      <c r="E3" s="135"/>
      <c r="F3" s="135"/>
      <c r="G3" s="135"/>
      <c r="H3" s="152"/>
      <c r="I3" s="152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135" t="s">
        <v>29</v>
      </c>
      <c r="B5" s="136"/>
      <c r="C5" s="136"/>
      <c r="D5" s="136"/>
      <c r="E5" s="136"/>
      <c r="F5" s="136"/>
      <c r="G5" s="136"/>
      <c r="H5" s="136"/>
      <c r="I5" s="136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3" t="s">
        <v>14</v>
      </c>
      <c r="B7" s="22" t="s">
        <v>15</v>
      </c>
      <c r="C7" s="22" t="s">
        <v>16</v>
      </c>
      <c r="D7" s="22" t="s">
        <v>53</v>
      </c>
      <c r="E7" s="22" t="s">
        <v>252</v>
      </c>
      <c r="F7" s="23" t="s">
        <v>253</v>
      </c>
      <c r="G7" s="23" t="s">
        <v>259</v>
      </c>
      <c r="H7" s="23" t="s">
        <v>48</v>
      </c>
      <c r="I7" s="23" t="s">
        <v>260</v>
      </c>
    </row>
    <row r="8" spans="1:9" x14ac:dyDescent="0.25">
      <c r="A8" s="13"/>
      <c r="B8" s="13"/>
      <c r="C8" s="13"/>
      <c r="D8" s="13" t="s">
        <v>242</v>
      </c>
      <c r="E8" s="67">
        <f>SUM(E9:E12)</f>
        <v>0</v>
      </c>
      <c r="F8" s="67">
        <f t="shared" ref="F8:I8" si="0">SUM(F9:F12)</f>
        <v>0</v>
      </c>
      <c r="G8" s="67">
        <f t="shared" si="0"/>
        <v>0</v>
      </c>
      <c r="H8" s="67">
        <f t="shared" si="0"/>
        <v>0</v>
      </c>
      <c r="I8" s="67">
        <f t="shared" si="0"/>
        <v>0</v>
      </c>
    </row>
    <row r="9" spans="1:9" ht="25.5" x14ac:dyDescent="0.25">
      <c r="A9" s="16">
        <v>8</v>
      </c>
      <c r="B9" s="16"/>
      <c r="C9" s="16"/>
      <c r="D9" s="16" t="s">
        <v>30</v>
      </c>
      <c r="E9" s="42">
        <v>0</v>
      </c>
      <c r="F9" s="39">
        <v>0</v>
      </c>
      <c r="G9" s="39">
        <v>0</v>
      </c>
      <c r="H9" s="39">
        <v>0</v>
      </c>
      <c r="I9" s="39">
        <v>0</v>
      </c>
    </row>
    <row r="10" spans="1:9" hidden="1" x14ac:dyDescent="0.25">
      <c r="A10" s="16"/>
      <c r="B10" s="16">
        <v>84</v>
      </c>
      <c r="C10" s="16"/>
      <c r="D10" s="16" t="s">
        <v>37</v>
      </c>
      <c r="E10" s="10"/>
      <c r="F10" s="11"/>
      <c r="G10" s="11"/>
      <c r="H10" s="11"/>
      <c r="I10" s="11"/>
    </row>
    <row r="11" spans="1:9" ht="25.5" hidden="1" x14ac:dyDescent="0.25">
      <c r="A11" s="14"/>
      <c r="B11" s="14"/>
      <c r="C11" s="15">
        <v>81</v>
      </c>
      <c r="D11" s="18" t="s">
        <v>38</v>
      </c>
      <c r="E11" s="10"/>
      <c r="F11" s="11"/>
      <c r="G11" s="11"/>
      <c r="H11" s="11"/>
      <c r="I11" s="11"/>
    </row>
    <row r="12" spans="1:9" ht="25.5" x14ac:dyDescent="0.25">
      <c r="A12" s="17">
        <v>5</v>
      </c>
      <c r="B12" s="70"/>
      <c r="C12" s="70"/>
      <c r="D12" s="28" t="s">
        <v>31</v>
      </c>
      <c r="E12" s="42">
        <v>0</v>
      </c>
      <c r="F12" s="39">
        <v>0</v>
      </c>
      <c r="G12" s="39">
        <v>0</v>
      </c>
      <c r="H12" s="39">
        <v>0</v>
      </c>
      <c r="I12" s="39">
        <v>0</v>
      </c>
    </row>
    <row r="13" spans="1:9" ht="25.5" hidden="1" x14ac:dyDescent="0.25">
      <c r="A13" s="16"/>
      <c r="B13" s="16">
        <v>54</v>
      </c>
      <c r="C13" s="16"/>
      <c r="D13" s="28" t="s">
        <v>39</v>
      </c>
      <c r="E13" s="10"/>
      <c r="F13" s="11"/>
      <c r="G13" s="11"/>
      <c r="H13" s="11"/>
      <c r="I13" s="12"/>
    </row>
    <row r="14" spans="1:9" hidden="1" x14ac:dyDescent="0.25">
      <c r="A14" s="16"/>
      <c r="B14" s="16"/>
      <c r="C14" s="15">
        <v>11</v>
      </c>
      <c r="D14" s="15" t="s">
        <v>18</v>
      </c>
      <c r="E14" s="10"/>
      <c r="F14" s="11"/>
      <c r="G14" s="11"/>
      <c r="H14" s="11"/>
      <c r="I14" s="12"/>
    </row>
    <row r="15" spans="1:9" hidden="1" x14ac:dyDescent="0.25">
      <c r="A15" s="16"/>
      <c r="B15" s="16"/>
      <c r="C15" s="15">
        <v>31</v>
      </c>
      <c r="D15" s="15" t="s">
        <v>40</v>
      </c>
      <c r="E15" s="10"/>
      <c r="F15" s="11"/>
      <c r="G15" s="11"/>
      <c r="H15" s="11"/>
      <c r="I15" s="12"/>
    </row>
    <row r="17" spans="1:8" x14ac:dyDescent="0.25">
      <c r="A17" t="s">
        <v>246</v>
      </c>
      <c r="E17" t="s">
        <v>247</v>
      </c>
      <c r="H17" t="s">
        <v>248</v>
      </c>
    </row>
    <row r="18" spans="1:8" x14ac:dyDescent="0.25">
      <c r="A18" t="s">
        <v>249</v>
      </c>
      <c r="E18" t="s">
        <v>250</v>
      </c>
      <c r="H18" t="s">
        <v>251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32"/>
  <sheetViews>
    <sheetView tabSelected="1" view="pageBreakPreview" zoomScaleNormal="100" zoomScaleSheetLayoutView="100" workbookViewId="0">
      <pane ySplit="5" topLeftCell="A371" activePane="bottomLeft" state="frozen"/>
      <selection pane="bottomLeft" sqref="A1:I1"/>
    </sheetView>
  </sheetViews>
  <sheetFormatPr defaultRowHeight="15" x14ac:dyDescent="0.25"/>
  <cols>
    <col min="1" max="1" width="7.42578125" style="84" customWidth="1"/>
    <col min="2" max="2" width="8.42578125" style="84" customWidth="1"/>
    <col min="3" max="3" width="8.7109375" style="84" customWidth="1"/>
    <col min="4" max="4" width="34.28515625" style="84" customWidth="1"/>
    <col min="5" max="5" width="23.42578125" style="84" customWidth="1"/>
    <col min="6" max="6" width="22.7109375" style="84" customWidth="1"/>
    <col min="7" max="7" width="21.42578125" style="84" customWidth="1"/>
    <col min="8" max="8" width="21.7109375" style="84" customWidth="1"/>
    <col min="9" max="9" width="21.42578125" style="84" customWidth="1"/>
    <col min="11" max="11" width="11.7109375" customWidth="1"/>
    <col min="12" max="12" width="14.7109375" customWidth="1"/>
    <col min="13" max="13" width="14.85546875" customWidth="1"/>
    <col min="14" max="15" width="9.140625" customWidth="1"/>
  </cols>
  <sheetData>
    <row r="1" spans="1:17" ht="42" customHeight="1" x14ac:dyDescent="0.25">
      <c r="A1" s="178" t="s">
        <v>270</v>
      </c>
      <c r="B1" s="178"/>
      <c r="C1" s="178"/>
      <c r="D1" s="178"/>
      <c r="E1" s="178"/>
      <c r="F1" s="178"/>
      <c r="G1" s="178"/>
      <c r="H1" s="178"/>
      <c r="I1" s="178"/>
      <c r="K1" s="40">
        <v>7.5345000000000004</v>
      </c>
    </row>
    <row r="2" spans="1:17" ht="18" x14ac:dyDescent="0.25">
      <c r="A2" s="71"/>
      <c r="B2" s="71"/>
      <c r="C2" s="71"/>
      <c r="D2" s="71"/>
      <c r="E2" s="74"/>
      <c r="F2" s="71"/>
      <c r="G2" s="71"/>
      <c r="H2" s="72"/>
      <c r="I2" s="72"/>
    </row>
    <row r="3" spans="1:17" ht="18" customHeight="1" x14ac:dyDescent="0.25">
      <c r="A3" s="178" t="s">
        <v>32</v>
      </c>
      <c r="B3" s="179"/>
      <c r="C3" s="179"/>
      <c r="D3" s="179"/>
      <c r="E3" s="179"/>
      <c r="F3" s="179"/>
      <c r="G3" s="179"/>
      <c r="H3" s="179"/>
      <c r="I3" s="179"/>
      <c r="K3" s="41"/>
    </row>
    <row r="4" spans="1:17" ht="18" x14ac:dyDescent="0.25">
      <c r="A4" s="71"/>
      <c r="B4" s="71"/>
      <c r="C4" s="71"/>
      <c r="D4" s="73" t="s">
        <v>237</v>
      </c>
      <c r="E4" s="74">
        <f>E6+E12+E18+E54+E194+E211+E221</f>
        <v>1412813.27</v>
      </c>
      <c r="F4" s="74">
        <f>F6+F12+F18+F54+F194+F211+F221</f>
        <v>1325588.24</v>
      </c>
      <c r="G4" s="74">
        <f>G6+G12+G18+G54+G194+G211+G221</f>
        <v>1649722.5</v>
      </c>
      <c r="H4" s="74">
        <f>H6+H12+H18+H54+H194+H211+H221</f>
        <v>1649722.5</v>
      </c>
      <c r="I4" s="74">
        <f>I6+I12+I18+I54+I194+I211+I221</f>
        <v>1649722.5</v>
      </c>
    </row>
    <row r="5" spans="1:17" ht="25.5" x14ac:dyDescent="0.25">
      <c r="A5" s="180" t="s">
        <v>34</v>
      </c>
      <c r="B5" s="181"/>
      <c r="C5" s="182"/>
      <c r="D5" s="75" t="s">
        <v>35</v>
      </c>
      <c r="E5" s="88" t="s">
        <v>252</v>
      </c>
      <c r="F5" s="89" t="s">
        <v>253</v>
      </c>
      <c r="G5" s="116" t="s">
        <v>259</v>
      </c>
      <c r="H5" s="116" t="s">
        <v>48</v>
      </c>
      <c r="I5" s="116" t="s">
        <v>260</v>
      </c>
      <c r="N5" s="66"/>
    </row>
    <row r="6" spans="1:17" ht="24" customHeight="1" x14ac:dyDescent="0.25">
      <c r="A6" s="183" t="s">
        <v>124</v>
      </c>
      <c r="B6" s="184"/>
      <c r="C6" s="185"/>
      <c r="D6" s="117" t="s">
        <v>138</v>
      </c>
      <c r="E6" s="90">
        <f>E7</f>
        <v>3098.03</v>
      </c>
      <c r="F6" s="90">
        <f t="shared" ref="F6:I6" si="0">F7</f>
        <v>2256.29</v>
      </c>
      <c r="G6" s="90">
        <f t="shared" si="0"/>
        <v>1000</v>
      </c>
      <c r="H6" s="90">
        <f t="shared" si="0"/>
        <v>1000</v>
      </c>
      <c r="I6" s="90">
        <f t="shared" si="0"/>
        <v>1000</v>
      </c>
      <c r="L6" s="66"/>
      <c r="M6" s="66"/>
      <c r="N6" s="66"/>
      <c r="O6" s="66"/>
      <c r="P6" s="66"/>
      <c r="Q6" s="66"/>
    </row>
    <row r="7" spans="1:17" ht="30" customHeight="1" x14ac:dyDescent="0.25">
      <c r="A7" s="169" t="s">
        <v>139</v>
      </c>
      <c r="B7" s="170"/>
      <c r="C7" s="171"/>
      <c r="D7" s="118" t="s">
        <v>140</v>
      </c>
      <c r="E7" s="91">
        <f>E8</f>
        <v>3098.03</v>
      </c>
      <c r="F7" s="91">
        <f t="shared" ref="F7:I7" si="1">F8</f>
        <v>2256.29</v>
      </c>
      <c r="G7" s="91">
        <f t="shared" si="1"/>
        <v>1000</v>
      </c>
      <c r="H7" s="91">
        <f t="shared" si="1"/>
        <v>1000</v>
      </c>
      <c r="I7" s="91">
        <f t="shared" si="1"/>
        <v>1000</v>
      </c>
    </row>
    <row r="8" spans="1:17" ht="15" customHeight="1" x14ac:dyDescent="0.25">
      <c r="A8" s="166" t="s">
        <v>141</v>
      </c>
      <c r="B8" s="167"/>
      <c r="C8" s="168"/>
      <c r="D8" s="108" t="s">
        <v>142</v>
      </c>
      <c r="E8" s="92">
        <f>E9</f>
        <v>3098.03</v>
      </c>
      <c r="F8" s="92">
        <f t="shared" ref="F8:I8" si="2">F9</f>
        <v>2256.29</v>
      </c>
      <c r="G8" s="92">
        <f t="shared" si="2"/>
        <v>1000</v>
      </c>
      <c r="H8" s="92">
        <f t="shared" si="2"/>
        <v>1000</v>
      </c>
      <c r="I8" s="92">
        <f t="shared" si="2"/>
        <v>1000</v>
      </c>
    </row>
    <row r="9" spans="1:17" x14ac:dyDescent="0.25">
      <c r="A9" s="157">
        <v>3</v>
      </c>
      <c r="B9" s="158"/>
      <c r="C9" s="159"/>
      <c r="D9" s="119" t="s">
        <v>22</v>
      </c>
      <c r="E9" s="93">
        <f>E10</f>
        <v>3098.03</v>
      </c>
      <c r="F9" s="93">
        <f t="shared" ref="F9:I9" si="3">F10</f>
        <v>2256.29</v>
      </c>
      <c r="G9" s="93">
        <f t="shared" si="3"/>
        <v>1000</v>
      </c>
      <c r="H9" s="93">
        <f t="shared" si="3"/>
        <v>1000</v>
      </c>
      <c r="I9" s="93">
        <f t="shared" si="3"/>
        <v>1000</v>
      </c>
    </row>
    <row r="10" spans="1:17" ht="26.25" x14ac:dyDescent="0.25">
      <c r="A10" s="160">
        <v>37</v>
      </c>
      <c r="B10" s="161"/>
      <c r="C10" s="162"/>
      <c r="D10" s="120" t="s">
        <v>143</v>
      </c>
      <c r="E10" s="94">
        <f>E11</f>
        <v>3098.03</v>
      </c>
      <c r="F10" s="94">
        <f t="shared" ref="F10:I10" si="4">F11</f>
        <v>2256.29</v>
      </c>
      <c r="G10" s="94">
        <f t="shared" si="4"/>
        <v>1000</v>
      </c>
      <c r="H10" s="94">
        <f t="shared" si="4"/>
        <v>1000</v>
      </c>
      <c r="I10" s="94">
        <f t="shared" si="4"/>
        <v>1000</v>
      </c>
    </row>
    <row r="11" spans="1:17" ht="25.5" hidden="1" x14ac:dyDescent="0.25">
      <c r="A11" s="163" t="s">
        <v>213</v>
      </c>
      <c r="B11" s="164"/>
      <c r="C11" s="165"/>
      <c r="D11" s="121" t="s">
        <v>143</v>
      </c>
      <c r="E11" s="96">
        <f>23342.1/K1</f>
        <v>3098.03</v>
      </c>
      <c r="F11" s="95">
        <v>2256.29</v>
      </c>
      <c r="G11" s="105">
        <v>1000</v>
      </c>
      <c r="H11" s="105">
        <v>1000</v>
      </c>
      <c r="I11" s="115">
        <v>1000</v>
      </c>
    </row>
    <row r="12" spans="1:17" x14ac:dyDescent="0.25">
      <c r="A12" s="175" t="s">
        <v>124</v>
      </c>
      <c r="B12" s="176"/>
      <c r="C12" s="177"/>
      <c r="D12" s="122" t="s">
        <v>94</v>
      </c>
      <c r="E12" s="98">
        <f>E13</f>
        <v>29858.48</v>
      </c>
      <c r="F12" s="98">
        <f t="shared" ref="F12:I12" si="5">F13</f>
        <v>0</v>
      </c>
      <c r="G12" s="98">
        <f t="shared" si="5"/>
        <v>0</v>
      </c>
      <c r="H12" s="98">
        <f t="shared" si="5"/>
        <v>0</v>
      </c>
      <c r="I12" s="98">
        <f t="shared" si="5"/>
        <v>0</v>
      </c>
      <c r="L12" s="66"/>
      <c r="M12" s="66"/>
      <c r="N12" s="66"/>
      <c r="O12" s="66"/>
      <c r="P12" s="66"/>
      <c r="Q12" s="66"/>
    </row>
    <row r="13" spans="1:17" ht="35.25" customHeight="1" x14ac:dyDescent="0.25">
      <c r="A13" s="169" t="s">
        <v>57</v>
      </c>
      <c r="B13" s="170"/>
      <c r="C13" s="171"/>
      <c r="D13" s="118" t="s">
        <v>58</v>
      </c>
      <c r="E13" s="91">
        <f>E14</f>
        <v>29858.48</v>
      </c>
      <c r="F13" s="91">
        <f t="shared" ref="F13:I13" si="6">F14</f>
        <v>0</v>
      </c>
      <c r="G13" s="91">
        <f t="shared" si="6"/>
        <v>0</v>
      </c>
      <c r="H13" s="91">
        <f t="shared" si="6"/>
        <v>0</v>
      </c>
      <c r="I13" s="91">
        <f t="shared" si="6"/>
        <v>0</v>
      </c>
    </row>
    <row r="14" spans="1:17" ht="15" customHeight="1" x14ac:dyDescent="0.25">
      <c r="A14" s="166" t="s">
        <v>128</v>
      </c>
      <c r="B14" s="167"/>
      <c r="C14" s="168"/>
      <c r="D14" s="108" t="s">
        <v>18</v>
      </c>
      <c r="E14" s="92">
        <f>E15</f>
        <v>29858.48</v>
      </c>
      <c r="F14" s="92">
        <f t="shared" ref="F14:I14" si="7">F15</f>
        <v>0</v>
      </c>
      <c r="G14" s="92">
        <f t="shared" si="7"/>
        <v>0</v>
      </c>
      <c r="H14" s="92">
        <f t="shared" si="7"/>
        <v>0</v>
      </c>
      <c r="I14" s="92">
        <f t="shared" si="7"/>
        <v>0</v>
      </c>
    </row>
    <row r="15" spans="1:17" ht="25.5" x14ac:dyDescent="0.25">
      <c r="A15" s="157">
        <v>4</v>
      </c>
      <c r="B15" s="158"/>
      <c r="C15" s="159"/>
      <c r="D15" s="119" t="s">
        <v>24</v>
      </c>
      <c r="E15" s="93">
        <f>E16</f>
        <v>29858.48</v>
      </c>
      <c r="F15" s="93">
        <f t="shared" ref="F15:I15" si="8">F16</f>
        <v>0</v>
      </c>
      <c r="G15" s="93">
        <f t="shared" si="8"/>
        <v>0</v>
      </c>
      <c r="H15" s="93">
        <f t="shared" si="8"/>
        <v>0</v>
      </c>
      <c r="I15" s="93">
        <f t="shared" si="8"/>
        <v>0</v>
      </c>
    </row>
    <row r="16" spans="1:17" ht="25.5" x14ac:dyDescent="0.25">
      <c r="A16" s="160">
        <v>42</v>
      </c>
      <c r="B16" s="161"/>
      <c r="C16" s="162"/>
      <c r="D16" s="123" t="s">
        <v>215</v>
      </c>
      <c r="E16" s="94">
        <f>E17</f>
        <v>29858.48</v>
      </c>
      <c r="F16" s="94">
        <f t="shared" ref="F16:I16" si="9">F17</f>
        <v>0</v>
      </c>
      <c r="G16" s="94">
        <f t="shared" si="9"/>
        <v>0</v>
      </c>
      <c r="H16" s="94">
        <f t="shared" si="9"/>
        <v>0</v>
      </c>
      <c r="I16" s="94">
        <f t="shared" si="9"/>
        <v>0</v>
      </c>
    </row>
    <row r="17" spans="1:17" hidden="1" x14ac:dyDescent="0.25">
      <c r="A17" s="163" t="s">
        <v>216</v>
      </c>
      <c r="B17" s="164"/>
      <c r="C17" s="165"/>
      <c r="D17" s="121" t="s">
        <v>109</v>
      </c>
      <c r="E17" s="96">
        <f>224968.75/K1</f>
        <v>29858.48</v>
      </c>
      <c r="F17" s="105">
        <v>0</v>
      </c>
      <c r="G17" s="79"/>
      <c r="H17" s="79"/>
      <c r="I17" s="80"/>
    </row>
    <row r="18" spans="1:17" ht="36" x14ac:dyDescent="0.25">
      <c r="A18" s="175" t="s">
        <v>124</v>
      </c>
      <c r="B18" s="176"/>
      <c r="C18" s="177"/>
      <c r="D18" s="122" t="s">
        <v>59</v>
      </c>
      <c r="E18" s="98">
        <f>E19+E44</f>
        <v>50995.29</v>
      </c>
      <c r="F18" s="98">
        <f t="shared" ref="F18:I18" si="10">F19+F44</f>
        <v>47411.76</v>
      </c>
      <c r="G18" s="98">
        <f t="shared" si="10"/>
        <v>45990</v>
      </c>
      <c r="H18" s="98">
        <f t="shared" si="10"/>
        <v>45990</v>
      </c>
      <c r="I18" s="98">
        <f t="shared" si="10"/>
        <v>45990</v>
      </c>
      <c r="L18" s="66"/>
      <c r="M18" s="66"/>
      <c r="N18" s="66"/>
      <c r="O18" s="66"/>
      <c r="P18" s="66"/>
      <c r="Q18" s="66"/>
    </row>
    <row r="19" spans="1:17" ht="15" customHeight="1" x14ac:dyDescent="0.25">
      <c r="A19" s="169" t="s">
        <v>121</v>
      </c>
      <c r="B19" s="170"/>
      <c r="C19" s="171"/>
      <c r="D19" s="118" t="s">
        <v>61</v>
      </c>
      <c r="E19" s="91">
        <f>E20</f>
        <v>42866.83</v>
      </c>
      <c r="F19" s="91">
        <f t="shared" ref="F19:I19" si="11">F20</f>
        <v>39283.300000000003</v>
      </c>
      <c r="G19" s="91">
        <f t="shared" si="11"/>
        <v>37798</v>
      </c>
      <c r="H19" s="91">
        <f t="shared" si="11"/>
        <v>37798</v>
      </c>
      <c r="I19" s="91">
        <f t="shared" si="11"/>
        <v>37798</v>
      </c>
    </row>
    <row r="20" spans="1:17" ht="15" customHeight="1" x14ac:dyDescent="0.25">
      <c r="A20" s="166" t="s">
        <v>122</v>
      </c>
      <c r="B20" s="167"/>
      <c r="C20" s="168"/>
      <c r="D20" s="108" t="s">
        <v>123</v>
      </c>
      <c r="E20" s="92">
        <f>E21</f>
        <v>42866.83</v>
      </c>
      <c r="F20" s="92">
        <f t="shared" ref="F20:I20" si="12">F21</f>
        <v>39283.300000000003</v>
      </c>
      <c r="G20" s="92">
        <f t="shared" si="12"/>
        <v>37798</v>
      </c>
      <c r="H20" s="92">
        <f t="shared" si="12"/>
        <v>37798</v>
      </c>
      <c r="I20" s="92">
        <f t="shared" si="12"/>
        <v>37798</v>
      </c>
    </row>
    <row r="21" spans="1:17" x14ac:dyDescent="0.25">
      <c r="A21" s="157">
        <v>3</v>
      </c>
      <c r="B21" s="158"/>
      <c r="C21" s="159"/>
      <c r="D21" s="119" t="s">
        <v>22</v>
      </c>
      <c r="E21" s="93">
        <f>E22+E42</f>
        <v>42866.83</v>
      </c>
      <c r="F21" s="93">
        <f t="shared" ref="F21:I21" si="13">F22+F42</f>
        <v>39283.300000000003</v>
      </c>
      <c r="G21" s="93">
        <f t="shared" si="13"/>
        <v>37798</v>
      </c>
      <c r="H21" s="93">
        <f t="shared" si="13"/>
        <v>37798</v>
      </c>
      <c r="I21" s="93">
        <f t="shared" si="13"/>
        <v>37798</v>
      </c>
    </row>
    <row r="22" spans="1:17" x14ac:dyDescent="0.25">
      <c r="A22" s="160">
        <v>32</v>
      </c>
      <c r="B22" s="161"/>
      <c r="C22" s="162"/>
      <c r="D22" s="123" t="s">
        <v>36</v>
      </c>
      <c r="E22" s="94">
        <f>SUM(E23:E41)</f>
        <v>41844.86</v>
      </c>
      <c r="F22" s="94">
        <f t="shared" ref="F22:I22" si="14">SUM(F23:F41)</f>
        <v>38155.160000000003</v>
      </c>
      <c r="G22" s="94">
        <f t="shared" si="14"/>
        <v>36648</v>
      </c>
      <c r="H22" s="94">
        <f t="shared" si="14"/>
        <v>36648</v>
      </c>
      <c r="I22" s="94">
        <f t="shared" si="14"/>
        <v>36648</v>
      </c>
    </row>
    <row r="23" spans="1:17" hidden="1" x14ac:dyDescent="0.25">
      <c r="A23" s="163">
        <v>3211</v>
      </c>
      <c r="B23" s="164"/>
      <c r="C23" s="165"/>
      <c r="D23" s="121" t="s">
        <v>62</v>
      </c>
      <c r="E23" s="96">
        <f>33066.4/K1</f>
        <v>4388.67</v>
      </c>
      <c r="F23" s="105">
        <v>4645.3</v>
      </c>
      <c r="G23" s="105">
        <v>4600</v>
      </c>
      <c r="H23" s="105">
        <v>5000</v>
      </c>
      <c r="I23" s="105">
        <v>5000</v>
      </c>
    </row>
    <row r="24" spans="1:17" hidden="1" x14ac:dyDescent="0.25">
      <c r="A24" s="163">
        <v>3213</v>
      </c>
      <c r="B24" s="164">
        <v>3213</v>
      </c>
      <c r="C24" s="165">
        <v>3213</v>
      </c>
      <c r="D24" s="121" t="s">
        <v>63</v>
      </c>
      <c r="E24" s="96">
        <f>4133.5/K1</f>
        <v>548.61</v>
      </c>
      <c r="F24" s="105">
        <v>716.7</v>
      </c>
      <c r="G24" s="105">
        <v>700</v>
      </c>
      <c r="H24" s="105">
        <v>1000</v>
      </c>
      <c r="I24" s="105">
        <v>1000</v>
      </c>
    </row>
    <row r="25" spans="1:17" hidden="1" x14ac:dyDescent="0.25">
      <c r="A25" s="163" t="s">
        <v>208</v>
      </c>
      <c r="B25" s="164">
        <v>3213</v>
      </c>
      <c r="C25" s="165">
        <v>3213</v>
      </c>
      <c r="D25" s="121" t="s">
        <v>209</v>
      </c>
      <c r="E25" s="96">
        <v>0</v>
      </c>
      <c r="F25" s="105">
        <v>0</v>
      </c>
      <c r="G25" s="105">
        <v>500</v>
      </c>
      <c r="H25" s="105">
        <v>500</v>
      </c>
      <c r="I25" s="105">
        <v>500</v>
      </c>
    </row>
    <row r="26" spans="1:17" hidden="1" x14ac:dyDescent="0.25">
      <c r="A26" s="163">
        <v>3221</v>
      </c>
      <c r="B26" s="164">
        <v>3221</v>
      </c>
      <c r="C26" s="165">
        <v>3221</v>
      </c>
      <c r="D26" s="121" t="s">
        <v>64</v>
      </c>
      <c r="E26" s="96">
        <f>63505/K1</f>
        <v>8428.56</v>
      </c>
      <c r="F26" s="105">
        <v>4742.8500000000004</v>
      </c>
      <c r="G26" s="105">
        <v>4800</v>
      </c>
      <c r="H26" s="105">
        <v>4800</v>
      </c>
      <c r="I26" s="105">
        <v>4800</v>
      </c>
    </row>
    <row r="27" spans="1:17" hidden="1" x14ac:dyDescent="0.25">
      <c r="A27" s="163">
        <v>3223</v>
      </c>
      <c r="B27" s="164">
        <v>3223</v>
      </c>
      <c r="C27" s="165">
        <v>3223</v>
      </c>
      <c r="D27" s="121" t="s">
        <v>65</v>
      </c>
      <c r="E27" s="96">
        <f>110613/K1-0.02</f>
        <v>14680.85</v>
      </c>
      <c r="F27" s="105">
        <v>14599.51</v>
      </c>
      <c r="G27" s="105">
        <v>5618</v>
      </c>
      <c r="H27" s="105">
        <v>7718</v>
      </c>
      <c r="I27" s="105">
        <v>9218</v>
      </c>
    </row>
    <row r="28" spans="1:17" hidden="1" x14ac:dyDescent="0.25">
      <c r="A28" s="163">
        <v>3225</v>
      </c>
      <c r="B28" s="164">
        <v>3225</v>
      </c>
      <c r="C28" s="165">
        <v>3225</v>
      </c>
      <c r="D28" s="121" t="s">
        <v>66</v>
      </c>
      <c r="E28" s="96">
        <f>2576/K1</f>
        <v>341.89</v>
      </c>
      <c r="F28" s="105">
        <v>663.61</v>
      </c>
      <c r="G28" s="105">
        <v>500</v>
      </c>
      <c r="H28" s="105">
        <v>500</v>
      </c>
      <c r="I28" s="105">
        <v>500</v>
      </c>
    </row>
    <row r="29" spans="1:17" hidden="1" x14ac:dyDescent="0.25">
      <c r="A29" s="163">
        <v>3227</v>
      </c>
      <c r="B29" s="164">
        <v>3227</v>
      </c>
      <c r="C29" s="165">
        <v>3227</v>
      </c>
      <c r="D29" s="121" t="s">
        <v>67</v>
      </c>
      <c r="E29" s="96">
        <f>1656.9/K1</f>
        <v>219.91</v>
      </c>
      <c r="F29" s="105">
        <v>357.69</v>
      </c>
      <c r="G29" s="105">
        <v>800</v>
      </c>
      <c r="H29" s="105">
        <v>1000</v>
      </c>
      <c r="I29" s="105">
        <v>1000</v>
      </c>
    </row>
    <row r="30" spans="1:17" hidden="1" x14ac:dyDescent="0.25">
      <c r="A30" s="163">
        <v>3231</v>
      </c>
      <c r="B30" s="164">
        <v>3231</v>
      </c>
      <c r="C30" s="165">
        <v>3231</v>
      </c>
      <c r="D30" s="121" t="s">
        <v>68</v>
      </c>
      <c r="E30" s="96">
        <f>16604.44/K1</f>
        <v>2203.79</v>
      </c>
      <c r="F30" s="105">
        <v>2389.0100000000002</v>
      </c>
      <c r="G30" s="105">
        <v>2400</v>
      </c>
      <c r="H30" s="105">
        <v>2400</v>
      </c>
      <c r="I30" s="105">
        <v>2400</v>
      </c>
    </row>
    <row r="31" spans="1:17" hidden="1" x14ac:dyDescent="0.25">
      <c r="A31" s="163">
        <v>3233</v>
      </c>
      <c r="B31" s="164">
        <v>3233</v>
      </c>
      <c r="C31" s="165">
        <v>3233</v>
      </c>
      <c r="D31" s="121" t="s">
        <v>69</v>
      </c>
      <c r="E31" s="96">
        <v>0</v>
      </c>
      <c r="F31" s="105">
        <v>66.36</v>
      </c>
      <c r="G31" s="105">
        <v>10</v>
      </c>
      <c r="H31" s="105">
        <v>10</v>
      </c>
      <c r="I31" s="105">
        <v>10</v>
      </c>
    </row>
    <row r="32" spans="1:17" hidden="1" x14ac:dyDescent="0.25">
      <c r="A32" s="163">
        <v>3234</v>
      </c>
      <c r="B32" s="164">
        <v>3234</v>
      </c>
      <c r="C32" s="165">
        <v>3234</v>
      </c>
      <c r="D32" s="121" t="s">
        <v>70</v>
      </c>
      <c r="E32" s="96">
        <f>30629.86/K1</f>
        <v>4065.28</v>
      </c>
      <c r="F32" s="105">
        <v>3716.24</v>
      </c>
      <c r="G32" s="105">
        <v>3700</v>
      </c>
      <c r="H32" s="105">
        <v>3700</v>
      </c>
      <c r="I32" s="105">
        <v>3700</v>
      </c>
    </row>
    <row r="33" spans="1:9" hidden="1" x14ac:dyDescent="0.25">
      <c r="A33" s="163">
        <v>3235</v>
      </c>
      <c r="B33" s="164">
        <v>3235</v>
      </c>
      <c r="C33" s="165">
        <v>3235</v>
      </c>
      <c r="D33" s="121" t="s">
        <v>71</v>
      </c>
      <c r="E33" s="96">
        <f>6881.64/K1</f>
        <v>913.35</v>
      </c>
      <c r="F33" s="105">
        <v>331.81</v>
      </c>
      <c r="G33" s="105">
        <v>6000</v>
      </c>
      <c r="H33" s="105">
        <v>3000</v>
      </c>
      <c r="I33" s="105">
        <v>1500</v>
      </c>
    </row>
    <row r="34" spans="1:9" hidden="1" x14ac:dyDescent="0.25">
      <c r="A34" s="163">
        <v>3236</v>
      </c>
      <c r="B34" s="164">
        <v>3236</v>
      </c>
      <c r="C34" s="165">
        <v>3236</v>
      </c>
      <c r="D34" s="121" t="s">
        <v>72</v>
      </c>
      <c r="E34" s="96">
        <f>20950.66/K1</f>
        <v>2780.63</v>
      </c>
      <c r="F34" s="105">
        <v>1990.84</v>
      </c>
      <c r="G34" s="105">
        <v>3000</v>
      </c>
      <c r="H34" s="105">
        <v>3000</v>
      </c>
      <c r="I34" s="105">
        <v>3000</v>
      </c>
    </row>
    <row r="35" spans="1:9" hidden="1" x14ac:dyDescent="0.25">
      <c r="A35" s="163">
        <v>3237</v>
      </c>
      <c r="B35" s="164">
        <v>3237</v>
      </c>
      <c r="C35" s="165">
        <v>3237</v>
      </c>
      <c r="D35" s="121" t="s">
        <v>73</v>
      </c>
      <c r="E35" s="96">
        <f>5712.5/K1</f>
        <v>758.18</v>
      </c>
      <c r="F35" s="105">
        <v>597.25</v>
      </c>
      <c r="G35" s="105">
        <v>400</v>
      </c>
      <c r="H35" s="105">
        <v>400</v>
      </c>
      <c r="I35" s="105">
        <v>400</v>
      </c>
    </row>
    <row r="36" spans="1:9" hidden="1" x14ac:dyDescent="0.25">
      <c r="A36" s="163">
        <v>3238</v>
      </c>
      <c r="B36" s="164">
        <v>3238</v>
      </c>
      <c r="C36" s="165">
        <v>3238</v>
      </c>
      <c r="D36" s="121" t="s">
        <v>74</v>
      </c>
      <c r="E36" s="96">
        <f>12350/K1</f>
        <v>1639.13</v>
      </c>
      <c r="F36" s="105">
        <v>1725.4</v>
      </c>
      <c r="G36" s="105">
        <v>2400</v>
      </c>
      <c r="H36" s="105">
        <v>2400</v>
      </c>
      <c r="I36" s="105">
        <v>2400</v>
      </c>
    </row>
    <row r="37" spans="1:9" hidden="1" x14ac:dyDescent="0.25">
      <c r="A37" s="163">
        <v>3239</v>
      </c>
      <c r="B37" s="164">
        <v>3239</v>
      </c>
      <c r="C37" s="165">
        <v>3239</v>
      </c>
      <c r="D37" s="121" t="s">
        <v>75</v>
      </c>
      <c r="E37" s="96">
        <f>600/K1</f>
        <v>79.63</v>
      </c>
      <c r="F37" s="105">
        <v>464.53</v>
      </c>
      <c r="G37" s="105">
        <v>300</v>
      </c>
      <c r="H37" s="105">
        <v>300</v>
      </c>
      <c r="I37" s="105">
        <v>300</v>
      </c>
    </row>
    <row r="38" spans="1:9" hidden="1" x14ac:dyDescent="0.25">
      <c r="A38" s="163">
        <v>3293</v>
      </c>
      <c r="B38" s="164">
        <v>3293</v>
      </c>
      <c r="C38" s="165">
        <v>3293</v>
      </c>
      <c r="D38" s="121" t="s">
        <v>76</v>
      </c>
      <c r="E38" s="96">
        <f>2824.79/K1</f>
        <v>374.91</v>
      </c>
      <c r="F38" s="105">
        <v>398.17</v>
      </c>
      <c r="G38" s="105">
        <v>390</v>
      </c>
      <c r="H38" s="105">
        <v>390</v>
      </c>
      <c r="I38" s="105">
        <v>390</v>
      </c>
    </row>
    <row r="39" spans="1:9" hidden="1" x14ac:dyDescent="0.25">
      <c r="A39" s="163">
        <v>3294</v>
      </c>
      <c r="B39" s="164">
        <v>3294</v>
      </c>
      <c r="C39" s="165">
        <v>3294</v>
      </c>
      <c r="D39" s="121" t="s">
        <v>77</v>
      </c>
      <c r="E39" s="96">
        <f>1200/K1</f>
        <v>159.27000000000001</v>
      </c>
      <c r="F39" s="105">
        <v>152.63</v>
      </c>
      <c r="G39" s="105">
        <v>200</v>
      </c>
      <c r="H39" s="105">
        <v>200</v>
      </c>
      <c r="I39" s="105">
        <v>200</v>
      </c>
    </row>
    <row r="40" spans="1:9" hidden="1" x14ac:dyDescent="0.25">
      <c r="A40" s="163">
        <v>3295</v>
      </c>
      <c r="B40" s="164">
        <v>3295</v>
      </c>
      <c r="C40" s="165">
        <v>3295</v>
      </c>
      <c r="D40" s="121" t="s">
        <v>78</v>
      </c>
      <c r="E40" s="96">
        <v>0</v>
      </c>
      <c r="F40" s="105">
        <v>132.72</v>
      </c>
      <c r="G40" s="105">
        <v>130</v>
      </c>
      <c r="H40" s="105">
        <v>130</v>
      </c>
      <c r="I40" s="105">
        <v>130</v>
      </c>
    </row>
    <row r="41" spans="1:9" hidden="1" x14ac:dyDescent="0.25">
      <c r="A41" s="163">
        <v>3299</v>
      </c>
      <c r="B41" s="164">
        <v>3299</v>
      </c>
      <c r="C41" s="165">
        <v>3299</v>
      </c>
      <c r="D41" s="121" t="s">
        <v>79</v>
      </c>
      <c r="E41" s="96">
        <f>1975.51/K1</f>
        <v>262.2</v>
      </c>
      <c r="F41" s="105">
        <v>464.54</v>
      </c>
      <c r="G41" s="105">
        <v>200</v>
      </c>
      <c r="H41" s="105">
        <v>200</v>
      </c>
      <c r="I41" s="105">
        <v>200</v>
      </c>
    </row>
    <row r="42" spans="1:9" x14ac:dyDescent="0.25">
      <c r="A42" s="160">
        <v>34</v>
      </c>
      <c r="B42" s="161"/>
      <c r="C42" s="162"/>
      <c r="D42" s="123" t="s">
        <v>102</v>
      </c>
      <c r="E42" s="94">
        <f>SUM(E43)</f>
        <v>1021.97</v>
      </c>
      <c r="F42" s="106">
        <f t="shared" ref="F42:I42" si="15">SUM(F43)</f>
        <v>1128.1400000000001</v>
      </c>
      <c r="G42" s="94">
        <f t="shared" si="15"/>
        <v>1150</v>
      </c>
      <c r="H42" s="94">
        <f t="shared" si="15"/>
        <v>1150</v>
      </c>
      <c r="I42" s="94">
        <f t="shared" si="15"/>
        <v>1150</v>
      </c>
    </row>
    <row r="43" spans="1:9" hidden="1" x14ac:dyDescent="0.25">
      <c r="A43" s="163" t="s">
        <v>181</v>
      </c>
      <c r="B43" s="164"/>
      <c r="C43" s="165"/>
      <c r="D43" s="124" t="s">
        <v>80</v>
      </c>
      <c r="E43" s="96">
        <f>7700/K1</f>
        <v>1021.97</v>
      </c>
      <c r="F43" s="105">
        <v>1128.1400000000001</v>
      </c>
      <c r="G43" s="105">
        <v>1150</v>
      </c>
      <c r="H43" s="105">
        <v>1150</v>
      </c>
      <c r="I43" s="115">
        <v>1150</v>
      </c>
    </row>
    <row r="44" spans="1:9" x14ac:dyDescent="0.25">
      <c r="A44" s="169" t="s">
        <v>125</v>
      </c>
      <c r="B44" s="170"/>
      <c r="C44" s="171"/>
      <c r="D44" s="118" t="s">
        <v>126</v>
      </c>
      <c r="E44" s="91">
        <f>E45</f>
        <v>8128.46</v>
      </c>
      <c r="F44" s="91">
        <f t="shared" ref="F44:I46" si="16">F45</f>
        <v>8128.46</v>
      </c>
      <c r="G44" s="91">
        <f t="shared" si="16"/>
        <v>8192</v>
      </c>
      <c r="H44" s="91">
        <f t="shared" si="16"/>
        <v>8192</v>
      </c>
      <c r="I44" s="91">
        <f t="shared" si="16"/>
        <v>8192</v>
      </c>
    </row>
    <row r="45" spans="1:9" ht="15" customHeight="1" x14ac:dyDescent="0.25">
      <c r="A45" s="166" t="s">
        <v>122</v>
      </c>
      <c r="B45" s="167"/>
      <c r="C45" s="168"/>
      <c r="D45" s="108" t="s">
        <v>123</v>
      </c>
      <c r="E45" s="92">
        <f>E46</f>
        <v>8128.46</v>
      </c>
      <c r="F45" s="92">
        <f t="shared" si="16"/>
        <v>8128.46</v>
      </c>
      <c r="G45" s="92">
        <f t="shared" si="16"/>
        <v>8192</v>
      </c>
      <c r="H45" s="92">
        <f t="shared" si="16"/>
        <v>8192</v>
      </c>
      <c r="I45" s="92">
        <f t="shared" si="16"/>
        <v>8192</v>
      </c>
    </row>
    <row r="46" spans="1:9" x14ac:dyDescent="0.25">
      <c r="A46" s="157">
        <v>3</v>
      </c>
      <c r="B46" s="158"/>
      <c r="C46" s="159"/>
      <c r="D46" s="119" t="s">
        <v>22</v>
      </c>
      <c r="E46" s="93">
        <f>E47</f>
        <v>8128.46</v>
      </c>
      <c r="F46" s="93">
        <f t="shared" si="16"/>
        <v>8128.46</v>
      </c>
      <c r="G46" s="93">
        <f t="shared" si="16"/>
        <v>8192</v>
      </c>
      <c r="H46" s="93">
        <f t="shared" si="16"/>
        <v>8192</v>
      </c>
      <c r="I46" s="93">
        <f t="shared" si="16"/>
        <v>8192</v>
      </c>
    </row>
    <row r="47" spans="1:9" x14ac:dyDescent="0.25">
      <c r="A47" s="160">
        <v>32</v>
      </c>
      <c r="B47" s="161"/>
      <c r="C47" s="162"/>
      <c r="D47" s="123" t="s">
        <v>36</v>
      </c>
      <c r="E47" s="97">
        <f>SUM(E48:E49)</f>
        <v>8128.46</v>
      </c>
      <c r="F47" s="97">
        <f t="shared" ref="F47:I47" si="17">SUM(F48:F49)</f>
        <v>8128.46</v>
      </c>
      <c r="G47" s="97">
        <f t="shared" si="17"/>
        <v>8192</v>
      </c>
      <c r="H47" s="97">
        <f t="shared" si="17"/>
        <v>8192</v>
      </c>
      <c r="I47" s="97">
        <f t="shared" si="17"/>
        <v>8192</v>
      </c>
    </row>
    <row r="48" spans="1:9" hidden="1" x14ac:dyDescent="0.25">
      <c r="A48" s="172">
        <v>3224</v>
      </c>
      <c r="B48" s="173"/>
      <c r="C48" s="174"/>
      <c r="D48" s="121" t="s">
        <v>82</v>
      </c>
      <c r="E48" s="96">
        <f>18000/K1</f>
        <v>2389.0100000000002</v>
      </c>
      <c r="F48" s="105">
        <v>2123.56</v>
      </c>
      <c r="G48" s="105">
        <v>2900</v>
      </c>
      <c r="H48" s="105">
        <v>2900</v>
      </c>
      <c r="I48" s="115">
        <v>2900</v>
      </c>
    </row>
    <row r="49" spans="1:11" hidden="1" x14ac:dyDescent="0.25">
      <c r="A49" s="172">
        <v>3232</v>
      </c>
      <c r="B49" s="173"/>
      <c r="C49" s="174"/>
      <c r="D49" s="124" t="s">
        <v>83</v>
      </c>
      <c r="E49" s="96">
        <f>43243.9/K1</f>
        <v>5739.45</v>
      </c>
      <c r="F49" s="105">
        <v>6004.9</v>
      </c>
      <c r="G49" s="105">
        <v>5292</v>
      </c>
      <c r="H49" s="105">
        <v>5292</v>
      </c>
      <c r="I49" s="115">
        <v>5292</v>
      </c>
    </row>
    <row r="50" spans="1:11" ht="15" customHeight="1" x14ac:dyDescent="0.25">
      <c r="A50" s="169" t="s">
        <v>129</v>
      </c>
      <c r="B50" s="170"/>
      <c r="C50" s="171"/>
      <c r="D50" s="118" t="s">
        <v>65</v>
      </c>
      <c r="E50" s="91">
        <v>0</v>
      </c>
      <c r="F50" s="107">
        <v>0</v>
      </c>
      <c r="G50" s="107">
        <v>0</v>
      </c>
      <c r="H50" s="81"/>
      <c r="I50" s="81"/>
    </row>
    <row r="51" spans="1:11" ht="15" customHeight="1" x14ac:dyDescent="0.25">
      <c r="A51" s="166" t="s">
        <v>122</v>
      </c>
      <c r="B51" s="167"/>
      <c r="C51" s="168"/>
      <c r="D51" s="108" t="s">
        <v>123</v>
      </c>
      <c r="E51" s="92">
        <v>0</v>
      </c>
      <c r="F51" s="108">
        <v>0</v>
      </c>
      <c r="G51" s="108">
        <v>0</v>
      </c>
      <c r="H51" s="76"/>
      <c r="I51" s="76"/>
    </row>
    <row r="52" spans="1:11" x14ac:dyDescent="0.25">
      <c r="A52" s="157">
        <v>3</v>
      </c>
      <c r="B52" s="158"/>
      <c r="C52" s="159"/>
      <c r="D52" s="119" t="s">
        <v>22</v>
      </c>
      <c r="E52" s="93">
        <v>0</v>
      </c>
      <c r="F52" s="109">
        <v>0</v>
      </c>
      <c r="G52" s="109">
        <v>0</v>
      </c>
      <c r="H52" s="77"/>
      <c r="I52" s="82"/>
    </row>
    <row r="53" spans="1:11" x14ac:dyDescent="0.25">
      <c r="A53" s="172">
        <v>32</v>
      </c>
      <c r="B53" s="173"/>
      <c r="C53" s="174"/>
      <c r="D53" s="121" t="s">
        <v>36</v>
      </c>
      <c r="E53" s="96"/>
      <c r="F53" s="79"/>
      <c r="G53" s="105">
        <v>0</v>
      </c>
      <c r="H53" s="79"/>
      <c r="I53" s="80"/>
    </row>
    <row r="54" spans="1:11" ht="45" customHeight="1" x14ac:dyDescent="0.25">
      <c r="A54" s="175" t="s">
        <v>124</v>
      </c>
      <c r="B54" s="176"/>
      <c r="C54" s="177"/>
      <c r="D54" s="122" t="s">
        <v>84</v>
      </c>
      <c r="E54" s="98">
        <f>E55+E64+E70+E75+E99+E118+E137+E156+E175+E80</f>
        <v>41147.589999999997</v>
      </c>
      <c r="F54" s="98">
        <f>F55+F64+F70+F75+F99+F118+F137+F156+F175+F80+0.02</f>
        <v>34059.47</v>
      </c>
      <c r="G54" s="98">
        <f>G55+G64+G70+G75+G99+G118+G137+G156+G175+G80</f>
        <v>61197</v>
      </c>
      <c r="H54" s="98">
        <f>H55+H64+H70+H75+H99+H118+H137+H156+H175+H80</f>
        <v>61197</v>
      </c>
      <c r="I54" s="98">
        <f>I55+I64+I70+I75+I99+I118+I137+I156+I175+I80</f>
        <v>61197</v>
      </c>
      <c r="K54" s="41">
        <f>61197-G54</f>
        <v>0</v>
      </c>
    </row>
    <row r="55" spans="1:11" ht="14.25" customHeight="1" x14ac:dyDescent="0.25">
      <c r="A55" s="169" t="s">
        <v>96</v>
      </c>
      <c r="B55" s="170"/>
      <c r="C55" s="171"/>
      <c r="D55" s="118" t="s">
        <v>127</v>
      </c>
      <c r="E55" s="91">
        <f>E57</f>
        <v>663.61</v>
      </c>
      <c r="F55" s="91">
        <f t="shared" ref="F55:I55" si="18">F57</f>
        <v>663.61</v>
      </c>
      <c r="G55" s="91">
        <f t="shared" si="18"/>
        <v>666</v>
      </c>
      <c r="H55" s="91">
        <f t="shared" si="18"/>
        <v>666</v>
      </c>
      <c r="I55" s="91">
        <f t="shared" si="18"/>
        <v>666</v>
      </c>
    </row>
    <row r="56" spans="1:11" ht="15" customHeight="1" x14ac:dyDescent="0.25">
      <c r="A56" s="166" t="s">
        <v>128</v>
      </c>
      <c r="B56" s="167"/>
      <c r="C56" s="168"/>
      <c r="D56" s="108" t="s">
        <v>18</v>
      </c>
      <c r="E56" s="92">
        <f>E57</f>
        <v>663.61</v>
      </c>
      <c r="F56" s="92">
        <f t="shared" ref="F56:I56" si="19">F57</f>
        <v>663.61</v>
      </c>
      <c r="G56" s="92">
        <f t="shared" si="19"/>
        <v>666</v>
      </c>
      <c r="H56" s="92">
        <f t="shared" si="19"/>
        <v>666</v>
      </c>
      <c r="I56" s="92">
        <f t="shared" si="19"/>
        <v>666</v>
      </c>
    </row>
    <row r="57" spans="1:11" x14ac:dyDescent="0.25">
      <c r="A57" s="157">
        <v>3</v>
      </c>
      <c r="B57" s="158"/>
      <c r="C57" s="159"/>
      <c r="D57" s="119" t="s">
        <v>22</v>
      </c>
      <c r="E57" s="93">
        <f>E58</f>
        <v>663.61</v>
      </c>
      <c r="F57" s="93">
        <f t="shared" ref="F57:I57" si="20">F58</f>
        <v>663.61</v>
      </c>
      <c r="G57" s="93">
        <f t="shared" si="20"/>
        <v>666</v>
      </c>
      <c r="H57" s="93">
        <f t="shared" si="20"/>
        <v>666</v>
      </c>
      <c r="I57" s="93">
        <f t="shared" si="20"/>
        <v>666</v>
      </c>
    </row>
    <row r="58" spans="1:11" x14ac:dyDescent="0.25">
      <c r="A58" s="160">
        <v>32</v>
      </c>
      <c r="B58" s="161"/>
      <c r="C58" s="162"/>
      <c r="D58" s="123" t="s">
        <v>36</v>
      </c>
      <c r="E58" s="94">
        <f>SUM(E59:E63)</f>
        <v>663.61</v>
      </c>
      <c r="F58" s="106">
        <f t="shared" ref="F58:I58" si="21">SUM(F59:F63)</f>
        <v>663.61</v>
      </c>
      <c r="G58" s="94">
        <f t="shared" si="21"/>
        <v>666</v>
      </c>
      <c r="H58" s="94">
        <f t="shared" si="21"/>
        <v>666</v>
      </c>
      <c r="I58" s="94">
        <f t="shared" si="21"/>
        <v>666</v>
      </c>
    </row>
    <row r="59" spans="1:11" hidden="1" x14ac:dyDescent="0.25">
      <c r="A59" s="163">
        <v>3211</v>
      </c>
      <c r="B59" s="164"/>
      <c r="C59" s="165"/>
      <c r="D59" s="121" t="s">
        <v>62</v>
      </c>
      <c r="E59" s="96"/>
      <c r="F59" s="105">
        <v>132.72</v>
      </c>
      <c r="G59" s="105">
        <v>100</v>
      </c>
      <c r="H59" s="105">
        <v>100</v>
      </c>
      <c r="I59" s="115">
        <v>100</v>
      </c>
    </row>
    <row r="60" spans="1:11" hidden="1" x14ac:dyDescent="0.25">
      <c r="A60" s="163">
        <v>3213</v>
      </c>
      <c r="B60" s="164">
        <v>3213</v>
      </c>
      <c r="C60" s="165">
        <v>3213</v>
      </c>
      <c r="D60" s="121" t="s">
        <v>63</v>
      </c>
      <c r="E60" s="96"/>
      <c r="F60" s="105">
        <v>398.17</v>
      </c>
      <c r="G60" s="105">
        <v>100</v>
      </c>
      <c r="H60" s="105">
        <v>100</v>
      </c>
      <c r="I60" s="115">
        <v>100</v>
      </c>
    </row>
    <row r="61" spans="1:11" hidden="1" x14ac:dyDescent="0.25">
      <c r="A61" s="163">
        <v>3221</v>
      </c>
      <c r="B61" s="164">
        <v>3221</v>
      </c>
      <c r="C61" s="165">
        <v>3221</v>
      </c>
      <c r="D61" s="121" t="s">
        <v>64</v>
      </c>
      <c r="E61" s="96"/>
      <c r="F61" s="105">
        <v>66.36</v>
      </c>
      <c r="G61" s="105">
        <v>50</v>
      </c>
      <c r="H61" s="105">
        <v>50</v>
      </c>
      <c r="I61" s="115">
        <v>50</v>
      </c>
    </row>
    <row r="62" spans="1:11" hidden="1" x14ac:dyDescent="0.25">
      <c r="A62" s="163" t="s">
        <v>182</v>
      </c>
      <c r="B62" s="164">
        <v>3223</v>
      </c>
      <c r="C62" s="165">
        <v>3223</v>
      </c>
      <c r="D62" s="124" t="s">
        <v>76</v>
      </c>
      <c r="E62" s="96"/>
      <c r="F62" s="105">
        <v>56.36</v>
      </c>
      <c r="G62" s="105">
        <v>50</v>
      </c>
      <c r="H62" s="105">
        <v>50</v>
      </c>
      <c r="I62" s="115">
        <v>50</v>
      </c>
    </row>
    <row r="63" spans="1:11" hidden="1" x14ac:dyDescent="0.25">
      <c r="A63" s="163" t="s">
        <v>184</v>
      </c>
      <c r="B63" s="164">
        <v>3213</v>
      </c>
      <c r="C63" s="165">
        <v>3213</v>
      </c>
      <c r="D63" s="121" t="s">
        <v>87</v>
      </c>
      <c r="E63" s="96">
        <f>5000/K1</f>
        <v>663.61</v>
      </c>
      <c r="F63" s="105">
        <v>10</v>
      </c>
      <c r="G63" s="105">
        <v>366</v>
      </c>
      <c r="H63" s="105">
        <v>366</v>
      </c>
      <c r="I63" s="115">
        <v>366</v>
      </c>
    </row>
    <row r="64" spans="1:11" ht="14.25" customHeight="1" x14ac:dyDescent="0.25">
      <c r="A64" s="169" t="s">
        <v>85</v>
      </c>
      <c r="B64" s="170"/>
      <c r="C64" s="171"/>
      <c r="D64" s="118" t="s">
        <v>130</v>
      </c>
      <c r="E64" s="91">
        <f>E65</f>
        <v>1500.85</v>
      </c>
      <c r="F64" s="91">
        <f t="shared" ref="F64:I64" si="22">F65</f>
        <v>2123.56</v>
      </c>
      <c r="G64" s="91">
        <f t="shared" si="22"/>
        <v>2434.8000000000002</v>
      </c>
      <c r="H64" s="91">
        <f t="shared" si="22"/>
        <v>2434.8000000000002</v>
      </c>
      <c r="I64" s="91">
        <f t="shared" si="22"/>
        <v>2434.8000000000002</v>
      </c>
    </row>
    <row r="65" spans="1:9" ht="15" customHeight="1" x14ac:dyDescent="0.25">
      <c r="A65" s="166" t="s">
        <v>128</v>
      </c>
      <c r="B65" s="167"/>
      <c r="C65" s="168"/>
      <c r="D65" s="108" t="s">
        <v>18</v>
      </c>
      <c r="E65" s="92">
        <f>E66</f>
        <v>1500.85</v>
      </c>
      <c r="F65" s="92">
        <f t="shared" ref="F65:I65" si="23">F66</f>
        <v>2123.56</v>
      </c>
      <c r="G65" s="92">
        <f t="shared" si="23"/>
        <v>2434.8000000000002</v>
      </c>
      <c r="H65" s="92">
        <f t="shared" si="23"/>
        <v>2434.8000000000002</v>
      </c>
      <c r="I65" s="92">
        <f t="shared" si="23"/>
        <v>2434.8000000000002</v>
      </c>
    </row>
    <row r="66" spans="1:9" x14ac:dyDescent="0.25">
      <c r="A66" s="157">
        <v>3</v>
      </c>
      <c r="B66" s="158"/>
      <c r="C66" s="159"/>
      <c r="D66" s="119" t="s">
        <v>22</v>
      </c>
      <c r="E66" s="93">
        <f>E67</f>
        <v>1500.85</v>
      </c>
      <c r="F66" s="93">
        <f t="shared" ref="F66:I66" si="24">F67</f>
        <v>2123.56</v>
      </c>
      <c r="G66" s="93">
        <f t="shared" si="24"/>
        <v>2434.8000000000002</v>
      </c>
      <c r="H66" s="93">
        <f t="shared" si="24"/>
        <v>2434.8000000000002</v>
      </c>
      <c r="I66" s="93">
        <f t="shared" si="24"/>
        <v>2434.8000000000002</v>
      </c>
    </row>
    <row r="67" spans="1:9" x14ac:dyDescent="0.25">
      <c r="A67" s="160">
        <v>32</v>
      </c>
      <c r="B67" s="161"/>
      <c r="C67" s="162"/>
      <c r="D67" s="123" t="s">
        <v>36</v>
      </c>
      <c r="E67" s="94">
        <f>SUM(E68:E69)</f>
        <v>1500.85</v>
      </c>
      <c r="F67" s="94">
        <f t="shared" ref="F67:I67" si="25">SUM(F68:F69)</f>
        <v>2123.56</v>
      </c>
      <c r="G67" s="94">
        <f t="shared" si="25"/>
        <v>2434.8000000000002</v>
      </c>
      <c r="H67" s="94">
        <f t="shared" si="25"/>
        <v>2434.8000000000002</v>
      </c>
      <c r="I67" s="94">
        <f t="shared" si="25"/>
        <v>2434.8000000000002</v>
      </c>
    </row>
    <row r="68" spans="1:9" hidden="1" x14ac:dyDescent="0.25">
      <c r="A68" s="163" t="s">
        <v>183</v>
      </c>
      <c r="B68" s="164"/>
      <c r="C68" s="165"/>
      <c r="D68" s="121" t="s">
        <v>86</v>
      </c>
      <c r="E68" s="96">
        <f>7978.8/K1</f>
        <v>1058.97</v>
      </c>
      <c r="F68" s="105">
        <v>1327.23</v>
      </c>
      <c r="G68" s="105">
        <v>1500</v>
      </c>
      <c r="H68" s="105">
        <v>1500</v>
      </c>
      <c r="I68" s="105">
        <v>1500</v>
      </c>
    </row>
    <row r="69" spans="1:9" hidden="1" x14ac:dyDescent="0.25">
      <c r="A69" s="163" t="s">
        <v>184</v>
      </c>
      <c r="B69" s="164">
        <v>3213</v>
      </c>
      <c r="C69" s="165">
        <v>3213</v>
      </c>
      <c r="D69" s="121" t="s">
        <v>87</v>
      </c>
      <c r="E69" s="96">
        <f>3329.31/K1</f>
        <v>441.88</v>
      </c>
      <c r="F69" s="105">
        <v>796.33</v>
      </c>
      <c r="G69" s="105">
        <v>934.8</v>
      </c>
      <c r="H69" s="105">
        <v>934.8</v>
      </c>
      <c r="I69" s="105">
        <v>934.8</v>
      </c>
    </row>
    <row r="70" spans="1:9" ht="14.25" customHeight="1" x14ac:dyDescent="0.25">
      <c r="A70" s="169" t="s">
        <v>88</v>
      </c>
      <c r="B70" s="170"/>
      <c r="C70" s="171"/>
      <c r="D70" s="118" t="s">
        <v>131</v>
      </c>
      <c r="E70" s="91">
        <f>E71</f>
        <v>530.89</v>
      </c>
      <c r="F70" s="107">
        <f t="shared" ref="F70:I70" si="26">F71</f>
        <v>530.89</v>
      </c>
      <c r="G70" s="91">
        <f t="shared" si="26"/>
        <v>0</v>
      </c>
      <c r="H70" s="91">
        <f t="shared" si="26"/>
        <v>0</v>
      </c>
      <c r="I70" s="91">
        <f t="shared" si="26"/>
        <v>0</v>
      </c>
    </row>
    <row r="71" spans="1:9" ht="15" customHeight="1" x14ac:dyDescent="0.25">
      <c r="A71" s="166" t="s">
        <v>128</v>
      </c>
      <c r="B71" s="167"/>
      <c r="C71" s="168"/>
      <c r="D71" s="108" t="s">
        <v>18</v>
      </c>
      <c r="E71" s="92">
        <f>E72</f>
        <v>530.89</v>
      </c>
      <c r="F71" s="108">
        <f t="shared" ref="F71:I71" si="27">F72</f>
        <v>530.89</v>
      </c>
      <c r="G71" s="92">
        <f t="shared" si="27"/>
        <v>0</v>
      </c>
      <c r="H71" s="92">
        <f t="shared" si="27"/>
        <v>0</v>
      </c>
      <c r="I71" s="92">
        <f t="shared" si="27"/>
        <v>0</v>
      </c>
    </row>
    <row r="72" spans="1:9" x14ac:dyDescent="0.25">
      <c r="A72" s="157">
        <v>3</v>
      </c>
      <c r="B72" s="158"/>
      <c r="C72" s="159"/>
      <c r="D72" s="119" t="s">
        <v>22</v>
      </c>
      <c r="E72" s="93">
        <f>E73</f>
        <v>530.89</v>
      </c>
      <c r="F72" s="109">
        <f t="shared" ref="F72:I73" si="28">F73</f>
        <v>530.89</v>
      </c>
      <c r="G72" s="93">
        <f t="shared" si="28"/>
        <v>0</v>
      </c>
      <c r="H72" s="93">
        <f t="shared" si="28"/>
        <v>0</v>
      </c>
      <c r="I72" s="93">
        <f t="shared" si="28"/>
        <v>0</v>
      </c>
    </row>
    <row r="73" spans="1:9" x14ac:dyDescent="0.25">
      <c r="A73" s="160">
        <v>32</v>
      </c>
      <c r="B73" s="161"/>
      <c r="C73" s="162"/>
      <c r="D73" s="123" t="s">
        <v>36</v>
      </c>
      <c r="E73" s="94">
        <f>E74</f>
        <v>530.89</v>
      </c>
      <c r="F73" s="94">
        <f t="shared" si="28"/>
        <v>530.89</v>
      </c>
      <c r="G73" s="94">
        <f t="shared" si="28"/>
        <v>0</v>
      </c>
      <c r="H73" s="94">
        <f t="shared" si="28"/>
        <v>0</v>
      </c>
      <c r="I73" s="94">
        <f t="shared" si="28"/>
        <v>0</v>
      </c>
    </row>
    <row r="74" spans="1:9" hidden="1" x14ac:dyDescent="0.25">
      <c r="A74" s="163" t="s">
        <v>184</v>
      </c>
      <c r="B74" s="164"/>
      <c r="C74" s="165"/>
      <c r="D74" s="124" t="s">
        <v>87</v>
      </c>
      <c r="E74" s="96">
        <f>4000/K1</f>
        <v>530.89</v>
      </c>
      <c r="F74" s="105">
        <v>530.89</v>
      </c>
      <c r="G74" s="105">
        <v>0</v>
      </c>
      <c r="H74" s="105">
        <v>0</v>
      </c>
      <c r="I74" s="115">
        <v>0</v>
      </c>
    </row>
    <row r="75" spans="1:9" ht="14.25" customHeight="1" x14ac:dyDescent="0.25">
      <c r="A75" s="169" t="s">
        <v>136</v>
      </c>
      <c r="B75" s="170"/>
      <c r="C75" s="171"/>
      <c r="D75" s="118" t="s">
        <v>135</v>
      </c>
      <c r="E75" s="91">
        <f>E76</f>
        <v>530.89</v>
      </c>
      <c r="F75" s="91">
        <f t="shared" ref="F75:I75" si="29">F76</f>
        <v>519.34</v>
      </c>
      <c r="G75" s="91">
        <f t="shared" si="29"/>
        <v>531</v>
      </c>
      <c r="H75" s="91">
        <f t="shared" si="29"/>
        <v>531</v>
      </c>
      <c r="I75" s="91">
        <f t="shared" si="29"/>
        <v>531</v>
      </c>
    </row>
    <row r="76" spans="1:9" ht="15" customHeight="1" x14ac:dyDescent="0.25">
      <c r="A76" s="166" t="s">
        <v>128</v>
      </c>
      <c r="B76" s="167"/>
      <c r="C76" s="168"/>
      <c r="D76" s="108" t="s">
        <v>18</v>
      </c>
      <c r="E76" s="92">
        <f>E77</f>
        <v>530.89</v>
      </c>
      <c r="F76" s="92">
        <f t="shared" ref="F76:I77" si="30">F77</f>
        <v>519.34</v>
      </c>
      <c r="G76" s="92">
        <f t="shared" si="30"/>
        <v>531</v>
      </c>
      <c r="H76" s="92">
        <f t="shared" si="30"/>
        <v>531</v>
      </c>
      <c r="I76" s="92">
        <f t="shared" si="30"/>
        <v>531</v>
      </c>
    </row>
    <row r="77" spans="1:9" x14ac:dyDescent="0.25">
      <c r="A77" s="157">
        <v>3</v>
      </c>
      <c r="B77" s="158"/>
      <c r="C77" s="159"/>
      <c r="D77" s="119" t="s">
        <v>22</v>
      </c>
      <c r="E77" s="93">
        <f>E78</f>
        <v>530.89</v>
      </c>
      <c r="F77" s="93">
        <f t="shared" si="30"/>
        <v>519.34</v>
      </c>
      <c r="G77" s="93">
        <f t="shared" si="30"/>
        <v>531</v>
      </c>
      <c r="H77" s="93">
        <f t="shared" si="30"/>
        <v>531</v>
      </c>
      <c r="I77" s="93">
        <f t="shared" si="30"/>
        <v>531</v>
      </c>
    </row>
    <row r="78" spans="1:9" x14ac:dyDescent="0.25">
      <c r="A78" s="160">
        <v>32</v>
      </c>
      <c r="B78" s="161"/>
      <c r="C78" s="162"/>
      <c r="D78" s="123" t="s">
        <v>36</v>
      </c>
      <c r="E78" s="94">
        <f>E79</f>
        <v>530.89</v>
      </c>
      <c r="F78" s="94">
        <f t="shared" ref="F78:I78" si="31">F79</f>
        <v>519.34</v>
      </c>
      <c r="G78" s="94">
        <f t="shared" si="31"/>
        <v>531</v>
      </c>
      <c r="H78" s="94">
        <f t="shared" si="31"/>
        <v>531</v>
      </c>
      <c r="I78" s="94">
        <f t="shared" si="31"/>
        <v>531</v>
      </c>
    </row>
    <row r="79" spans="1:9" hidden="1" x14ac:dyDescent="0.25">
      <c r="A79" s="163">
        <v>3238</v>
      </c>
      <c r="B79" s="164">
        <v>3238</v>
      </c>
      <c r="C79" s="165">
        <v>3238</v>
      </c>
      <c r="D79" s="121" t="s">
        <v>74</v>
      </c>
      <c r="E79" s="96">
        <v>530.89</v>
      </c>
      <c r="F79" s="105">
        <v>519.34</v>
      </c>
      <c r="G79" s="105">
        <v>531</v>
      </c>
      <c r="H79" s="105">
        <v>531</v>
      </c>
      <c r="I79" s="105">
        <v>531</v>
      </c>
    </row>
    <row r="80" spans="1:9" ht="14.25" customHeight="1" x14ac:dyDescent="0.25">
      <c r="A80" s="169" t="s">
        <v>224</v>
      </c>
      <c r="B80" s="170"/>
      <c r="C80" s="171"/>
      <c r="D80" s="118" t="s">
        <v>223</v>
      </c>
      <c r="E80" s="91">
        <f>E81+E90</f>
        <v>24851.81</v>
      </c>
      <c r="F80" s="91">
        <f t="shared" ref="F80:I80" si="32">F81+F90</f>
        <v>0</v>
      </c>
      <c r="G80" s="91">
        <f t="shared" si="32"/>
        <v>0</v>
      </c>
      <c r="H80" s="91">
        <f t="shared" si="32"/>
        <v>0</v>
      </c>
      <c r="I80" s="91">
        <f t="shared" si="32"/>
        <v>0</v>
      </c>
    </row>
    <row r="81" spans="1:9" ht="15" customHeight="1" x14ac:dyDescent="0.25">
      <c r="A81" s="166" t="s">
        <v>128</v>
      </c>
      <c r="B81" s="167"/>
      <c r="C81" s="168"/>
      <c r="D81" s="108" t="s">
        <v>18</v>
      </c>
      <c r="E81" s="92">
        <f>E82</f>
        <v>3727.77</v>
      </c>
      <c r="F81" s="92">
        <f t="shared" ref="F81:I81" si="33">F82</f>
        <v>0</v>
      </c>
      <c r="G81" s="92">
        <f t="shared" si="33"/>
        <v>0</v>
      </c>
      <c r="H81" s="92">
        <f t="shared" si="33"/>
        <v>0</v>
      </c>
      <c r="I81" s="92">
        <f t="shared" si="33"/>
        <v>0</v>
      </c>
    </row>
    <row r="82" spans="1:9" x14ac:dyDescent="0.25">
      <c r="A82" s="157">
        <v>3</v>
      </c>
      <c r="B82" s="158"/>
      <c r="C82" s="159"/>
      <c r="D82" s="119" t="s">
        <v>22</v>
      </c>
      <c r="E82" s="93">
        <f>E83+E87</f>
        <v>3727.77</v>
      </c>
      <c r="F82" s="93">
        <f t="shared" ref="F82:I82" si="34">F83+F87</f>
        <v>0</v>
      </c>
      <c r="G82" s="93">
        <f t="shared" si="34"/>
        <v>0</v>
      </c>
      <c r="H82" s="93">
        <f t="shared" si="34"/>
        <v>0</v>
      </c>
      <c r="I82" s="93">
        <f t="shared" si="34"/>
        <v>0</v>
      </c>
    </row>
    <row r="83" spans="1:9" x14ac:dyDescent="0.25">
      <c r="A83" s="160">
        <v>31</v>
      </c>
      <c r="B83" s="161"/>
      <c r="C83" s="162"/>
      <c r="D83" s="123" t="s">
        <v>23</v>
      </c>
      <c r="E83" s="94">
        <f>SUM(E84:E86)</f>
        <v>3672.07</v>
      </c>
      <c r="F83" s="94">
        <f t="shared" ref="F83:I83" si="35">SUM(F84:F86)</f>
        <v>0</v>
      </c>
      <c r="G83" s="94">
        <f t="shared" si="35"/>
        <v>0</v>
      </c>
      <c r="H83" s="94">
        <f t="shared" si="35"/>
        <v>0</v>
      </c>
      <c r="I83" s="94">
        <f t="shared" si="35"/>
        <v>0</v>
      </c>
    </row>
    <row r="84" spans="1:9" hidden="1" x14ac:dyDescent="0.25">
      <c r="A84" s="163" t="s">
        <v>185</v>
      </c>
      <c r="B84" s="164"/>
      <c r="C84" s="165"/>
      <c r="D84" s="124" t="s">
        <v>90</v>
      </c>
      <c r="E84" s="96">
        <f>23088.77/K1</f>
        <v>3064.41</v>
      </c>
      <c r="F84" s="79"/>
      <c r="G84" s="79"/>
      <c r="H84" s="79"/>
      <c r="I84" s="80"/>
    </row>
    <row r="85" spans="1:9" hidden="1" x14ac:dyDescent="0.25">
      <c r="A85" s="163" t="s">
        <v>186</v>
      </c>
      <c r="B85" s="164"/>
      <c r="C85" s="165"/>
      <c r="D85" s="124" t="s">
        <v>91</v>
      </c>
      <c r="E85" s="96">
        <f>768.75/K1</f>
        <v>102.03</v>
      </c>
      <c r="F85" s="79"/>
      <c r="G85" s="79"/>
      <c r="H85" s="79"/>
      <c r="I85" s="80"/>
    </row>
    <row r="86" spans="1:9" hidden="1" x14ac:dyDescent="0.25">
      <c r="A86" s="163" t="s">
        <v>187</v>
      </c>
      <c r="B86" s="164"/>
      <c r="C86" s="165"/>
      <c r="D86" s="124" t="s">
        <v>92</v>
      </c>
      <c r="E86" s="96">
        <f>3809.66/K1</f>
        <v>505.63</v>
      </c>
      <c r="F86" s="79"/>
      <c r="G86" s="79"/>
      <c r="H86" s="79"/>
      <c r="I86" s="80"/>
    </row>
    <row r="87" spans="1:9" x14ac:dyDescent="0.25">
      <c r="A87" s="160">
        <v>32</v>
      </c>
      <c r="B87" s="161"/>
      <c r="C87" s="162"/>
      <c r="D87" s="123" t="s">
        <v>36</v>
      </c>
      <c r="E87" s="94">
        <f>SUM(E88:E89)</f>
        <v>55.7</v>
      </c>
      <c r="F87" s="94">
        <f t="shared" ref="F87:I87" si="36">SUM(F88:F89)</f>
        <v>0</v>
      </c>
      <c r="G87" s="94">
        <f t="shared" si="36"/>
        <v>0</v>
      </c>
      <c r="H87" s="94">
        <f t="shared" si="36"/>
        <v>0</v>
      </c>
      <c r="I87" s="94">
        <f t="shared" si="36"/>
        <v>0</v>
      </c>
    </row>
    <row r="88" spans="1:9" hidden="1" x14ac:dyDescent="0.25">
      <c r="A88" s="163" t="s">
        <v>188</v>
      </c>
      <c r="B88" s="164"/>
      <c r="C88" s="165"/>
      <c r="D88" s="124" t="s">
        <v>62</v>
      </c>
      <c r="E88" s="96">
        <f>60/K1</f>
        <v>7.96</v>
      </c>
      <c r="F88" s="79"/>
      <c r="G88" s="79"/>
      <c r="H88" s="79"/>
      <c r="I88" s="80"/>
    </row>
    <row r="89" spans="1:9" hidden="1" x14ac:dyDescent="0.25">
      <c r="A89" s="163" t="s">
        <v>189</v>
      </c>
      <c r="B89" s="164"/>
      <c r="C89" s="165"/>
      <c r="D89" s="124" t="s">
        <v>93</v>
      </c>
      <c r="E89" s="96">
        <f>359.71/K1</f>
        <v>47.74</v>
      </c>
      <c r="F89" s="79"/>
      <c r="G89" s="79"/>
      <c r="H89" s="79"/>
      <c r="I89" s="80"/>
    </row>
    <row r="90" spans="1:9" ht="15" customHeight="1" x14ac:dyDescent="0.25">
      <c r="A90" s="166" t="s">
        <v>243</v>
      </c>
      <c r="B90" s="167"/>
      <c r="C90" s="168"/>
      <c r="D90" s="108" t="s">
        <v>134</v>
      </c>
      <c r="E90" s="92">
        <f>E91</f>
        <v>21124.04</v>
      </c>
      <c r="F90" s="92">
        <f t="shared" ref="F90:I90" si="37">F91</f>
        <v>0</v>
      </c>
      <c r="G90" s="92">
        <f t="shared" si="37"/>
        <v>0</v>
      </c>
      <c r="H90" s="92">
        <f t="shared" si="37"/>
        <v>0</v>
      </c>
      <c r="I90" s="92">
        <f t="shared" si="37"/>
        <v>0</v>
      </c>
    </row>
    <row r="91" spans="1:9" x14ac:dyDescent="0.25">
      <c r="A91" s="157">
        <v>3</v>
      </c>
      <c r="B91" s="158"/>
      <c r="C91" s="159"/>
      <c r="D91" s="119" t="s">
        <v>22</v>
      </c>
      <c r="E91" s="93">
        <f>E92+E96</f>
        <v>21124.04</v>
      </c>
      <c r="F91" s="93">
        <f t="shared" ref="F91:I91" si="38">F92+F96</f>
        <v>0</v>
      </c>
      <c r="G91" s="93">
        <f t="shared" si="38"/>
        <v>0</v>
      </c>
      <c r="H91" s="93">
        <f t="shared" si="38"/>
        <v>0</v>
      </c>
      <c r="I91" s="93">
        <f t="shared" si="38"/>
        <v>0</v>
      </c>
    </row>
    <row r="92" spans="1:9" x14ac:dyDescent="0.25">
      <c r="A92" s="160">
        <v>31</v>
      </c>
      <c r="B92" s="161"/>
      <c r="C92" s="162"/>
      <c r="D92" s="123" t="s">
        <v>23</v>
      </c>
      <c r="E92" s="94">
        <f>SUM(E93:E95)</f>
        <v>20808.37</v>
      </c>
      <c r="F92" s="94">
        <f t="shared" ref="F92:I92" si="39">SUM(F93:F95)</f>
        <v>0</v>
      </c>
      <c r="G92" s="94">
        <f t="shared" si="39"/>
        <v>0</v>
      </c>
      <c r="H92" s="94">
        <f t="shared" si="39"/>
        <v>0</v>
      </c>
      <c r="I92" s="94">
        <f t="shared" si="39"/>
        <v>0</v>
      </c>
    </row>
    <row r="93" spans="1:9" hidden="1" x14ac:dyDescent="0.25">
      <c r="A93" s="163" t="s">
        <v>185</v>
      </c>
      <c r="B93" s="164"/>
      <c r="C93" s="165"/>
      <c r="D93" s="124" t="s">
        <v>90</v>
      </c>
      <c r="E93" s="96">
        <f>130836.4/K1</f>
        <v>17364.97</v>
      </c>
      <c r="F93" s="79"/>
      <c r="G93" s="79"/>
      <c r="H93" s="79"/>
      <c r="I93" s="80"/>
    </row>
    <row r="94" spans="1:9" hidden="1" x14ac:dyDescent="0.25">
      <c r="A94" s="163" t="s">
        <v>186</v>
      </c>
      <c r="B94" s="164"/>
      <c r="C94" s="165"/>
      <c r="D94" s="124" t="s">
        <v>91</v>
      </c>
      <c r="E94" s="96">
        <f>4356.25/K1</f>
        <v>578.16999999999996</v>
      </c>
      <c r="F94" s="79"/>
      <c r="G94" s="79"/>
      <c r="H94" s="79"/>
      <c r="I94" s="80"/>
    </row>
    <row r="95" spans="1:9" hidden="1" x14ac:dyDescent="0.25">
      <c r="A95" s="163" t="s">
        <v>187</v>
      </c>
      <c r="B95" s="164"/>
      <c r="C95" s="165"/>
      <c r="D95" s="124" t="s">
        <v>92</v>
      </c>
      <c r="E95" s="96">
        <f>21588.06/K1</f>
        <v>2865.23</v>
      </c>
      <c r="F95" s="79"/>
      <c r="G95" s="79"/>
      <c r="H95" s="79"/>
      <c r="I95" s="80"/>
    </row>
    <row r="96" spans="1:9" x14ac:dyDescent="0.25">
      <c r="A96" s="160">
        <v>32</v>
      </c>
      <c r="B96" s="161"/>
      <c r="C96" s="162"/>
      <c r="D96" s="123" t="s">
        <v>36</v>
      </c>
      <c r="E96" s="94">
        <f>SUM(E97:E98)</f>
        <v>315.67</v>
      </c>
      <c r="F96" s="94">
        <f t="shared" ref="F96:I96" si="40">SUM(F97:F98)</f>
        <v>0</v>
      </c>
      <c r="G96" s="94">
        <f t="shared" si="40"/>
        <v>0</v>
      </c>
      <c r="H96" s="94">
        <f t="shared" si="40"/>
        <v>0</v>
      </c>
      <c r="I96" s="94">
        <f t="shared" si="40"/>
        <v>0</v>
      </c>
    </row>
    <row r="97" spans="1:9" hidden="1" x14ac:dyDescent="0.25">
      <c r="A97" s="163" t="s">
        <v>188</v>
      </c>
      <c r="B97" s="164"/>
      <c r="C97" s="165"/>
      <c r="D97" s="124" t="s">
        <v>62</v>
      </c>
      <c r="E97" s="96">
        <f>340/K1</f>
        <v>45.13</v>
      </c>
      <c r="F97" s="79"/>
      <c r="G97" s="79"/>
      <c r="H97" s="79"/>
      <c r="I97" s="80"/>
    </row>
    <row r="98" spans="1:9" hidden="1" x14ac:dyDescent="0.25">
      <c r="A98" s="163" t="s">
        <v>189</v>
      </c>
      <c r="B98" s="164"/>
      <c r="C98" s="165"/>
      <c r="D98" s="124" t="s">
        <v>93</v>
      </c>
      <c r="E98" s="96">
        <f>2038.39/K1</f>
        <v>270.54000000000002</v>
      </c>
      <c r="F98" s="79"/>
      <c r="G98" s="79"/>
      <c r="H98" s="79"/>
      <c r="I98" s="80"/>
    </row>
    <row r="99" spans="1:9" ht="14.25" customHeight="1" x14ac:dyDescent="0.25">
      <c r="A99" s="169" t="s">
        <v>132</v>
      </c>
      <c r="B99" s="170"/>
      <c r="C99" s="171"/>
      <c r="D99" s="118" t="s">
        <v>133</v>
      </c>
      <c r="E99" s="91">
        <f>E100+E109</f>
        <v>13069.54</v>
      </c>
      <c r="F99" s="91">
        <f t="shared" ref="F99:I99" si="41">F100+F109</f>
        <v>18133.23</v>
      </c>
      <c r="G99" s="91">
        <f t="shared" si="41"/>
        <v>0</v>
      </c>
      <c r="H99" s="91">
        <f t="shared" si="41"/>
        <v>0</v>
      </c>
      <c r="I99" s="91">
        <f t="shared" si="41"/>
        <v>0</v>
      </c>
    </row>
    <row r="100" spans="1:9" ht="15" customHeight="1" x14ac:dyDescent="0.25">
      <c r="A100" s="166" t="s">
        <v>128</v>
      </c>
      <c r="B100" s="167"/>
      <c r="C100" s="168"/>
      <c r="D100" s="108" t="s">
        <v>18</v>
      </c>
      <c r="E100" s="92">
        <f>E101</f>
        <v>1960.43</v>
      </c>
      <c r="F100" s="92">
        <f t="shared" ref="F100:I100" si="42">F101</f>
        <v>2719.99</v>
      </c>
      <c r="G100" s="92">
        <f t="shared" si="42"/>
        <v>0</v>
      </c>
      <c r="H100" s="92">
        <f t="shared" si="42"/>
        <v>0</v>
      </c>
      <c r="I100" s="92">
        <f t="shared" si="42"/>
        <v>0</v>
      </c>
    </row>
    <row r="101" spans="1:9" x14ac:dyDescent="0.25">
      <c r="A101" s="157">
        <v>3</v>
      </c>
      <c r="B101" s="158"/>
      <c r="C101" s="159"/>
      <c r="D101" s="119" t="s">
        <v>22</v>
      </c>
      <c r="E101" s="93">
        <f>E102+E106</f>
        <v>1960.43</v>
      </c>
      <c r="F101" s="93">
        <f t="shared" ref="F101:I101" si="43">F102+F106</f>
        <v>2719.99</v>
      </c>
      <c r="G101" s="93">
        <f t="shared" si="43"/>
        <v>0</v>
      </c>
      <c r="H101" s="93">
        <f t="shared" si="43"/>
        <v>0</v>
      </c>
      <c r="I101" s="93">
        <f t="shared" si="43"/>
        <v>0</v>
      </c>
    </row>
    <row r="102" spans="1:9" x14ac:dyDescent="0.25">
      <c r="A102" s="160">
        <v>31</v>
      </c>
      <c r="B102" s="161"/>
      <c r="C102" s="162"/>
      <c r="D102" s="123" t="s">
        <v>23</v>
      </c>
      <c r="E102" s="94">
        <f>SUM(E103:E105)</f>
        <v>1835.95</v>
      </c>
      <c r="F102" s="106">
        <f t="shared" ref="F102:I102" si="44">SUM(F103:F105)</f>
        <v>2693.02</v>
      </c>
      <c r="G102" s="94">
        <f t="shared" si="44"/>
        <v>0</v>
      </c>
      <c r="H102" s="94">
        <f t="shared" si="44"/>
        <v>0</v>
      </c>
      <c r="I102" s="94">
        <f t="shared" si="44"/>
        <v>0</v>
      </c>
    </row>
    <row r="103" spans="1:9" hidden="1" x14ac:dyDescent="0.25">
      <c r="A103" s="163" t="s">
        <v>185</v>
      </c>
      <c r="B103" s="164"/>
      <c r="C103" s="165"/>
      <c r="D103" s="124" t="s">
        <v>90</v>
      </c>
      <c r="E103" s="96">
        <f>10296.51/K1</f>
        <v>1366.58</v>
      </c>
      <c r="F103" s="105">
        <v>2245.0700000000002</v>
      </c>
      <c r="G103" s="79"/>
      <c r="H103" s="79"/>
      <c r="I103" s="80"/>
    </row>
    <row r="104" spans="1:9" hidden="1" x14ac:dyDescent="0.25">
      <c r="A104" s="163" t="s">
        <v>186</v>
      </c>
      <c r="B104" s="164"/>
      <c r="C104" s="165"/>
      <c r="D104" s="124" t="s">
        <v>91</v>
      </c>
      <c r="E104" s="96">
        <f>1837.5/K1</f>
        <v>243.88</v>
      </c>
      <c r="F104" s="105">
        <v>77.05</v>
      </c>
      <c r="G104" s="79"/>
      <c r="H104" s="79"/>
      <c r="I104" s="80"/>
    </row>
    <row r="105" spans="1:9" hidden="1" x14ac:dyDescent="0.25">
      <c r="A105" s="163" t="s">
        <v>187</v>
      </c>
      <c r="B105" s="164"/>
      <c r="C105" s="165"/>
      <c r="D105" s="124" t="s">
        <v>92</v>
      </c>
      <c r="E105" s="96">
        <f>1698.92/K1</f>
        <v>225.49</v>
      </c>
      <c r="F105" s="105">
        <v>370.9</v>
      </c>
      <c r="G105" s="79"/>
      <c r="H105" s="79"/>
      <c r="I105" s="80"/>
    </row>
    <row r="106" spans="1:9" x14ac:dyDescent="0.25">
      <c r="A106" s="160">
        <v>32</v>
      </c>
      <c r="B106" s="161"/>
      <c r="C106" s="162"/>
      <c r="D106" s="123" t="s">
        <v>36</v>
      </c>
      <c r="E106" s="94">
        <f>SUM(E107:E108)</f>
        <v>124.48</v>
      </c>
      <c r="F106" s="106">
        <f t="shared" ref="F106:I106" si="45">SUM(F107:F108)</f>
        <v>26.97</v>
      </c>
      <c r="G106" s="94">
        <f t="shared" si="45"/>
        <v>0</v>
      </c>
      <c r="H106" s="94">
        <f t="shared" si="45"/>
        <v>0</v>
      </c>
      <c r="I106" s="94">
        <f t="shared" si="45"/>
        <v>0</v>
      </c>
    </row>
    <row r="107" spans="1:9" hidden="1" x14ac:dyDescent="0.25">
      <c r="A107" s="163" t="s">
        <v>188</v>
      </c>
      <c r="B107" s="164"/>
      <c r="C107" s="165"/>
      <c r="D107" s="124" t="s">
        <v>62</v>
      </c>
      <c r="E107" s="96">
        <f>27.9/K1</f>
        <v>3.7</v>
      </c>
      <c r="F107" s="105">
        <v>12.54</v>
      </c>
      <c r="G107" s="79"/>
      <c r="H107" s="79"/>
      <c r="I107" s="80"/>
    </row>
    <row r="108" spans="1:9" hidden="1" x14ac:dyDescent="0.25">
      <c r="A108" s="163" t="s">
        <v>189</v>
      </c>
      <c r="B108" s="164"/>
      <c r="C108" s="165"/>
      <c r="D108" s="124" t="s">
        <v>93</v>
      </c>
      <c r="E108" s="96">
        <f>910.03/K1</f>
        <v>120.78</v>
      </c>
      <c r="F108" s="105">
        <v>14.43</v>
      </c>
      <c r="G108" s="79"/>
      <c r="H108" s="79"/>
      <c r="I108" s="80"/>
    </row>
    <row r="109" spans="1:9" ht="15" customHeight="1" x14ac:dyDescent="0.25">
      <c r="A109" s="166" t="s">
        <v>243</v>
      </c>
      <c r="B109" s="167"/>
      <c r="C109" s="168"/>
      <c r="D109" s="108" t="s">
        <v>134</v>
      </c>
      <c r="E109" s="92">
        <f>E110</f>
        <v>11109.11</v>
      </c>
      <c r="F109" s="108">
        <f t="shared" ref="F109:I109" si="46">F110</f>
        <v>15413.24</v>
      </c>
      <c r="G109" s="92">
        <f t="shared" si="46"/>
        <v>0</v>
      </c>
      <c r="H109" s="92">
        <f t="shared" si="46"/>
        <v>0</v>
      </c>
      <c r="I109" s="92">
        <f t="shared" si="46"/>
        <v>0</v>
      </c>
    </row>
    <row r="110" spans="1:9" x14ac:dyDescent="0.25">
      <c r="A110" s="157">
        <v>3</v>
      </c>
      <c r="B110" s="158"/>
      <c r="C110" s="159"/>
      <c r="D110" s="119" t="s">
        <v>22</v>
      </c>
      <c r="E110" s="93">
        <f>E111+E115</f>
        <v>11109.11</v>
      </c>
      <c r="F110" s="109">
        <f t="shared" ref="F110:I110" si="47">F111+F115</f>
        <v>15413.24</v>
      </c>
      <c r="G110" s="93">
        <f t="shared" si="47"/>
        <v>0</v>
      </c>
      <c r="H110" s="93">
        <f t="shared" si="47"/>
        <v>0</v>
      </c>
      <c r="I110" s="93">
        <f t="shared" si="47"/>
        <v>0</v>
      </c>
    </row>
    <row r="111" spans="1:9" x14ac:dyDescent="0.25">
      <c r="A111" s="160">
        <v>31</v>
      </c>
      <c r="B111" s="161"/>
      <c r="C111" s="162"/>
      <c r="D111" s="123" t="s">
        <v>23</v>
      </c>
      <c r="E111" s="94">
        <f>SUM(E112:E114)</f>
        <v>10403.700000000001</v>
      </c>
      <c r="F111" s="106">
        <f t="shared" ref="F111:I111" si="48">SUM(F112:F114)</f>
        <v>15260.4</v>
      </c>
      <c r="G111" s="94">
        <f t="shared" si="48"/>
        <v>0</v>
      </c>
      <c r="H111" s="94">
        <f t="shared" si="48"/>
        <v>0</v>
      </c>
      <c r="I111" s="94">
        <f t="shared" si="48"/>
        <v>0</v>
      </c>
    </row>
    <row r="112" spans="1:9" hidden="1" x14ac:dyDescent="0.25">
      <c r="A112" s="163" t="s">
        <v>185</v>
      </c>
      <c r="B112" s="164"/>
      <c r="C112" s="165"/>
      <c r="D112" s="124" t="s">
        <v>90</v>
      </c>
      <c r="E112" s="96">
        <f>58346.86/K1</f>
        <v>7743.96</v>
      </c>
      <c r="F112" s="105">
        <v>12722.08</v>
      </c>
      <c r="G112" s="79"/>
      <c r="H112" s="79"/>
      <c r="I112" s="80"/>
    </row>
    <row r="113" spans="1:9" hidden="1" x14ac:dyDescent="0.25">
      <c r="A113" s="163" t="s">
        <v>186</v>
      </c>
      <c r="B113" s="164"/>
      <c r="C113" s="165"/>
      <c r="D113" s="124" t="s">
        <v>91</v>
      </c>
      <c r="E113" s="96">
        <f>10412.5/K1</f>
        <v>1381.98</v>
      </c>
      <c r="F113" s="105">
        <v>436.59</v>
      </c>
      <c r="G113" s="79"/>
      <c r="H113" s="79"/>
      <c r="I113" s="80"/>
    </row>
    <row r="114" spans="1:9" hidden="1" x14ac:dyDescent="0.25">
      <c r="A114" s="163" t="s">
        <v>187</v>
      </c>
      <c r="B114" s="164"/>
      <c r="C114" s="165"/>
      <c r="D114" s="124" t="s">
        <v>92</v>
      </c>
      <c r="E114" s="96">
        <f>9627.25/K1</f>
        <v>1277.76</v>
      </c>
      <c r="F114" s="105">
        <v>2101.73</v>
      </c>
      <c r="G114" s="79"/>
      <c r="H114" s="79"/>
      <c r="I114" s="80"/>
    </row>
    <row r="115" spans="1:9" x14ac:dyDescent="0.25">
      <c r="A115" s="160">
        <v>32</v>
      </c>
      <c r="B115" s="161"/>
      <c r="C115" s="162"/>
      <c r="D115" s="123" t="s">
        <v>36</v>
      </c>
      <c r="E115" s="94">
        <f>SUM(E116:E117)</f>
        <v>705.41</v>
      </c>
      <c r="F115" s="106">
        <f t="shared" ref="F115:I115" si="49">SUM(F116:F117)</f>
        <v>152.84</v>
      </c>
      <c r="G115" s="94">
        <f t="shared" si="49"/>
        <v>0</v>
      </c>
      <c r="H115" s="94">
        <f t="shared" si="49"/>
        <v>0</v>
      </c>
      <c r="I115" s="94">
        <f t="shared" si="49"/>
        <v>0</v>
      </c>
    </row>
    <row r="116" spans="1:9" hidden="1" x14ac:dyDescent="0.25">
      <c r="A116" s="163" t="s">
        <v>188</v>
      </c>
      <c r="B116" s="164"/>
      <c r="C116" s="165"/>
      <c r="D116" s="124" t="s">
        <v>62</v>
      </c>
      <c r="E116" s="96">
        <f>158.1/K1</f>
        <v>20.98</v>
      </c>
      <c r="F116" s="105">
        <v>71.069999999999993</v>
      </c>
      <c r="G116" s="79"/>
      <c r="H116" s="79"/>
      <c r="I116" s="80"/>
    </row>
    <row r="117" spans="1:9" hidden="1" x14ac:dyDescent="0.25">
      <c r="A117" s="163" t="s">
        <v>189</v>
      </c>
      <c r="B117" s="164"/>
      <c r="C117" s="165"/>
      <c r="D117" s="124" t="s">
        <v>93</v>
      </c>
      <c r="E117" s="96">
        <f>5156.81/K1</f>
        <v>684.43</v>
      </c>
      <c r="F117" s="105">
        <v>81.77</v>
      </c>
      <c r="G117" s="79"/>
      <c r="H117" s="79"/>
      <c r="I117" s="80"/>
    </row>
    <row r="118" spans="1:9" ht="14.25" customHeight="1" x14ac:dyDescent="0.25">
      <c r="A118" s="169" t="s">
        <v>234</v>
      </c>
      <c r="B118" s="170"/>
      <c r="C118" s="171"/>
      <c r="D118" s="118" t="s">
        <v>233</v>
      </c>
      <c r="E118" s="91">
        <f>E119+E128</f>
        <v>0</v>
      </c>
      <c r="F118" s="91">
        <f t="shared" ref="F118:I118" si="50">F119+F128</f>
        <v>12088.82</v>
      </c>
      <c r="G118" s="91">
        <f>G119+G128</f>
        <v>33180</v>
      </c>
      <c r="H118" s="91">
        <f t="shared" si="50"/>
        <v>0</v>
      </c>
      <c r="I118" s="91">
        <f t="shared" si="50"/>
        <v>0</v>
      </c>
    </row>
    <row r="119" spans="1:9" ht="15" customHeight="1" x14ac:dyDescent="0.25">
      <c r="A119" s="166" t="s">
        <v>128</v>
      </c>
      <c r="B119" s="167"/>
      <c r="C119" s="168"/>
      <c r="D119" s="108" t="s">
        <v>18</v>
      </c>
      <c r="E119" s="92">
        <f>E120</f>
        <v>0</v>
      </c>
      <c r="F119" s="92">
        <f t="shared" ref="F119:I119" si="51">F120</f>
        <v>1813.32</v>
      </c>
      <c r="G119" s="92">
        <f t="shared" si="51"/>
        <v>4977</v>
      </c>
      <c r="H119" s="92">
        <f t="shared" si="51"/>
        <v>0</v>
      </c>
      <c r="I119" s="92">
        <f t="shared" si="51"/>
        <v>0</v>
      </c>
    </row>
    <row r="120" spans="1:9" x14ac:dyDescent="0.25">
      <c r="A120" s="157">
        <v>3</v>
      </c>
      <c r="B120" s="158"/>
      <c r="C120" s="159"/>
      <c r="D120" s="119" t="s">
        <v>22</v>
      </c>
      <c r="E120" s="93">
        <f>E121+E125</f>
        <v>0</v>
      </c>
      <c r="F120" s="93">
        <f t="shared" ref="F120:I120" si="52">F121+F125</f>
        <v>1813.32</v>
      </c>
      <c r="G120" s="93">
        <f t="shared" si="52"/>
        <v>4977</v>
      </c>
      <c r="H120" s="93">
        <f t="shared" si="52"/>
        <v>0</v>
      </c>
      <c r="I120" s="93">
        <f t="shared" si="52"/>
        <v>0</v>
      </c>
    </row>
    <row r="121" spans="1:9" x14ac:dyDescent="0.25">
      <c r="A121" s="160">
        <v>31</v>
      </c>
      <c r="B121" s="161"/>
      <c r="C121" s="162"/>
      <c r="D121" s="123" t="s">
        <v>23</v>
      </c>
      <c r="E121" s="94">
        <f>SUM(E122:E124)</f>
        <v>0</v>
      </c>
      <c r="F121" s="94">
        <f t="shared" ref="F121:I121" si="53">SUM(F122:F124)</f>
        <v>1795.34</v>
      </c>
      <c r="G121" s="94">
        <f>SUM(G122:G124)</f>
        <v>4590</v>
      </c>
      <c r="H121" s="94">
        <f t="shared" si="53"/>
        <v>0</v>
      </c>
      <c r="I121" s="94">
        <f t="shared" si="53"/>
        <v>0</v>
      </c>
    </row>
    <row r="122" spans="1:9" x14ac:dyDescent="0.25">
      <c r="A122" s="163" t="s">
        <v>185</v>
      </c>
      <c r="B122" s="164"/>
      <c r="C122" s="165"/>
      <c r="D122" s="124" t="s">
        <v>90</v>
      </c>
      <c r="E122" s="96"/>
      <c r="F122" s="105">
        <v>1496.72</v>
      </c>
      <c r="G122" s="110">
        <f>4000*0.15*6</f>
        <v>3600</v>
      </c>
      <c r="H122" s="79"/>
      <c r="I122" s="80"/>
    </row>
    <row r="123" spans="1:9" hidden="1" x14ac:dyDescent="0.25">
      <c r="A123" s="163" t="s">
        <v>186</v>
      </c>
      <c r="B123" s="164"/>
      <c r="C123" s="165"/>
      <c r="D123" s="124" t="s">
        <v>91</v>
      </c>
      <c r="E123" s="96"/>
      <c r="F123" s="105">
        <v>51.36</v>
      </c>
      <c r="G123" s="110">
        <f>300*8*0.15</f>
        <v>360</v>
      </c>
      <c r="H123" s="79"/>
      <c r="I123" s="80"/>
    </row>
    <row r="124" spans="1:9" hidden="1" x14ac:dyDescent="0.25">
      <c r="A124" s="163" t="s">
        <v>187</v>
      </c>
      <c r="B124" s="164"/>
      <c r="C124" s="165"/>
      <c r="D124" s="124" t="s">
        <v>92</v>
      </c>
      <c r="E124" s="96"/>
      <c r="F124" s="105">
        <v>247.26</v>
      </c>
      <c r="G124" s="110">
        <f>700*0.15*6</f>
        <v>630</v>
      </c>
      <c r="H124" s="79"/>
      <c r="I124" s="80"/>
    </row>
    <row r="125" spans="1:9" x14ac:dyDescent="0.25">
      <c r="A125" s="160">
        <v>32</v>
      </c>
      <c r="B125" s="161"/>
      <c r="C125" s="162"/>
      <c r="D125" s="123" t="s">
        <v>36</v>
      </c>
      <c r="E125" s="94">
        <f>SUM(E126:E127)</f>
        <v>0</v>
      </c>
      <c r="F125" s="106">
        <f t="shared" ref="F125:I125" si="54">SUM(F126:F127)</f>
        <v>17.98</v>
      </c>
      <c r="G125" s="94">
        <f t="shared" si="54"/>
        <v>387</v>
      </c>
      <c r="H125" s="94">
        <f t="shared" si="54"/>
        <v>0</v>
      </c>
      <c r="I125" s="94">
        <f t="shared" si="54"/>
        <v>0</v>
      </c>
    </row>
    <row r="126" spans="1:9" hidden="1" x14ac:dyDescent="0.25">
      <c r="A126" s="163" t="s">
        <v>188</v>
      </c>
      <c r="B126" s="164"/>
      <c r="C126" s="165"/>
      <c r="D126" s="124" t="s">
        <v>62</v>
      </c>
      <c r="E126" s="96"/>
      <c r="F126" s="105">
        <v>8.36</v>
      </c>
      <c r="G126" s="110">
        <f>300*0.15</f>
        <v>45</v>
      </c>
      <c r="H126" s="79"/>
      <c r="I126" s="80"/>
    </row>
    <row r="127" spans="1:9" hidden="1" x14ac:dyDescent="0.25">
      <c r="A127" s="163" t="s">
        <v>189</v>
      </c>
      <c r="B127" s="164"/>
      <c r="C127" s="165"/>
      <c r="D127" s="124" t="s">
        <v>93</v>
      </c>
      <c r="E127" s="96"/>
      <c r="F127" s="105">
        <v>9.6199999999999992</v>
      </c>
      <c r="G127" s="110">
        <f>380*6*0.15</f>
        <v>342</v>
      </c>
      <c r="H127" s="79"/>
      <c r="I127" s="80"/>
    </row>
    <row r="128" spans="1:9" ht="15" customHeight="1" x14ac:dyDescent="0.25">
      <c r="A128" s="166" t="s">
        <v>243</v>
      </c>
      <c r="B128" s="167"/>
      <c r="C128" s="168"/>
      <c r="D128" s="108" t="s">
        <v>134</v>
      </c>
      <c r="E128" s="92">
        <f>E129</f>
        <v>0</v>
      </c>
      <c r="F128" s="92">
        <f t="shared" ref="F128:I128" si="55">F129</f>
        <v>10275.5</v>
      </c>
      <c r="G128" s="92">
        <f t="shared" si="55"/>
        <v>28203</v>
      </c>
      <c r="H128" s="92">
        <f t="shared" si="55"/>
        <v>0</v>
      </c>
      <c r="I128" s="92">
        <f t="shared" si="55"/>
        <v>0</v>
      </c>
    </row>
    <row r="129" spans="1:9" x14ac:dyDescent="0.25">
      <c r="A129" s="157">
        <v>3</v>
      </c>
      <c r="B129" s="158"/>
      <c r="C129" s="159"/>
      <c r="D129" s="119" t="s">
        <v>22</v>
      </c>
      <c r="E129" s="93">
        <f>E130+E134</f>
        <v>0</v>
      </c>
      <c r="F129" s="93">
        <f t="shared" ref="F129:I129" si="56">F130+F134</f>
        <v>10275.5</v>
      </c>
      <c r="G129" s="93">
        <f t="shared" si="56"/>
        <v>28203</v>
      </c>
      <c r="H129" s="93">
        <f t="shared" si="56"/>
        <v>0</v>
      </c>
      <c r="I129" s="93">
        <f t="shared" si="56"/>
        <v>0</v>
      </c>
    </row>
    <row r="130" spans="1:9" x14ac:dyDescent="0.25">
      <c r="A130" s="160">
        <v>31</v>
      </c>
      <c r="B130" s="161"/>
      <c r="C130" s="162"/>
      <c r="D130" s="123" t="s">
        <v>23</v>
      </c>
      <c r="E130" s="94">
        <f>SUM(E131:E133)</f>
        <v>0</v>
      </c>
      <c r="F130" s="94">
        <f t="shared" ref="F130:I130" si="57">SUM(F131:F133)</f>
        <v>10173.6</v>
      </c>
      <c r="G130" s="94">
        <f t="shared" si="57"/>
        <v>26010</v>
      </c>
      <c r="H130" s="94">
        <f t="shared" si="57"/>
        <v>0</v>
      </c>
      <c r="I130" s="94">
        <f t="shared" si="57"/>
        <v>0</v>
      </c>
    </row>
    <row r="131" spans="1:9" hidden="1" x14ac:dyDescent="0.25">
      <c r="A131" s="163" t="s">
        <v>185</v>
      </c>
      <c r="B131" s="164"/>
      <c r="C131" s="165"/>
      <c r="D131" s="124" t="s">
        <v>90</v>
      </c>
      <c r="E131" s="96"/>
      <c r="F131" s="110">
        <v>8481.39</v>
      </c>
      <c r="G131" s="110">
        <f>4000*0.85*6</f>
        <v>20400</v>
      </c>
      <c r="H131" s="79"/>
      <c r="I131" s="80"/>
    </row>
    <row r="132" spans="1:9" hidden="1" x14ac:dyDescent="0.25">
      <c r="A132" s="163" t="s">
        <v>186</v>
      </c>
      <c r="B132" s="164"/>
      <c r="C132" s="165"/>
      <c r="D132" s="124" t="s">
        <v>91</v>
      </c>
      <c r="E132" s="96"/>
      <c r="F132" s="110">
        <v>291.06</v>
      </c>
      <c r="G132" s="110">
        <f>300*8*0.85</f>
        <v>2040</v>
      </c>
      <c r="H132" s="79"/>
      <c r="I132" s="80"/>
    </row>
    <row r="133" spans="1:9" hidden="1" x14ac:dyDescent="0.25">
      <c r="A133" s="163" t="s">
        <v>187</v>
      </c>
      <c r="B133" s="164"/>
      <c r="C133" s="165"/>
      <c r="D133" s="124" t="s">
        <v>92</v>
      </c>
      <c r="E133" s="96"/>
      <c r="F133" s="110">
        <v>1401.15</v>
      </c>
      <c r="G133" s="110">
        <f>700*0.85*6</f>
        <v>3570</v>
      </c>
      <c r="H133" s="79"/>
      <c r="I133" s="80"/>
    </row>
    <row r="134" spans="1:9" x14ac:dyDescent="0.25">
      <c r="A134" s="160">
        <v>32</v>
      </c>
      <c r="B134" s="161"/>
      <c r="C134" s="162"/>
      <c r="D134" s="123" t="s">
        <v>36</v>
      </c>
      <c r="E134" s="94">
        <f>SUM(E135:E136)</f>
        <v>0</v>
      </c>
      <c r="F134" s="106">
        <f t="shared" ref="F134:I134" si="58">SUM(F135:F136)</f>
        <v>101.9</v>
      </c>
      <c r="G134" s="94">
        <f t="shared" si="58"/>
        <v>2193</v>
      </c>
      <c r="H134" s="94">
        <f t="shared" si="58"/>
        <v>0</v>
      </c>
      <c r="I134" s="94">
        <f t="shared" si="58"/>
        <v>0</v>
      </c>
    </row>
    <row r="135" spans="1:9" hidden="1" x14ac:dyDescent="0.25">
      <c r="A135" s="163" t="s">
        <v>188</v>
      </c>
      <c r="B135" s="164"/>
      <c r="C135" s="165"/>
      <c r="D135" s="124" t="s">
        <v>62</v>
      </c>
      <c r="E135" s="96"/>
      <c r="F135" s="105">
        <v>47.38</v>
      </c>
      <c r="G135" s="110">
        <f>300*0.85</f>
        <v>255</v>
      </c>
      <c r="H135" s="79"/>
      <c r="I135" s="80"/>
    </row>
    <row r="136" spans="1:9" hidden="1" x14ac:dyDescent="0.25">
      <c r="A136" s="163" t="s">
        <v>189</v>
      </c>
      <c r="B136" s="164"/>
      <c r="C136" s="165"/>
      <c r="D136" s="124" t="s">
        <v>93</v>
      </c>
      <c r="E136" s="96"/>
      <c r="F136" s="105">
        <v>54.52</v>
      </c>
      <c r="G136" s="110">
        <f>380*6*0.85</f>
        <v>1938</v>
      </c>
      <c r="H136" s="79"/>
      <c r="I136" s="80"/>
    </row>
    <row r="137" spans="1:9" ht="14.25" customHeight="1" x14ac:dyDescent="0.25">
      <c r="A137" s="169" t="s">
        <v>267</v>
      </c>
      <c r="B137" s="170"/>
      <c r="C137" s="171"/>
      <c r="D137" s="118" t="s">
        <v>236</v>
      </c>
      <c r="E137" s="91">
        <f>E138+E147</f>
        <v>0</v>
      </c>
      <c r="F137" s="91">
        <f t="shared" ref="F137:I137" si="59">F138+F147</f>
        <v>0</v>
      </c>
      <c r="G137" s="91">
        <f>G138+G147</f>
        <v>24385.200000000001</v>
      </c>
      <c r="H137" s="91">
        <f>H138+H147</f>
        <v>33180</v>
      </c>
      <c r="I137" s="91">
        <f t="shared" si="59"/>
        <v>0</v>
      </c>
    </row>
    <row r="138" spans="1:9" ht="15" customHeight="1" x14ac:dyDescent="0.25">
      <c r="A138" s="166" t="s">
        <v>128</v>
      </c>
      <c r="B138" s="167"/>
      <c r="C138" s="168"/>
      <c r="D138" s="108" t="s">
        <v>18</v>
      </c>
      <c r="E138" s="92">
        <f>E139</f>
        <v>0</v>
      </c>
      <c r="F138" s="92">
        <f t="shared" ref="F138:I138" si="60">F139</f>
        <v>0</v>
      </c>
      <c r="G138" s="92">
        <f t="shared" si="60"/>
        <v>3757.8</v>
      </c>
      <c r="H138" s="92">
        <f t="shared" si="60"/>
        <v>4977</v>
      </c>
      <c r="I138" s="92">
        <f t="shared" si="60"/>
        <v>0</v>
      </c>
    </row>
    <row r="139" spans="1:9" x14ac:dyDescent="0.25">
      <c r="A139" s="157">
        <v>3</v>
      </c>
      <c r="B139" s="158"/>
      <c r="C139" s="159"/>
      <c r="D139" s="119" t="s">
        <v>22</v>
      </c>
      <c r="E139" s="93">
        <f>E140+E144</f>
        <v>0</v>
      </c>
      <c r="F139" s="93">
        <f t="shared" ref="F139:I139" si="61">F140+F144</f>
        <v>0</v>
      </c>
      <c r="G139" s="93">
        <f>G140+G144</f>
        <v>3757.8</v>
      </c>
      <c r="H139" s="93">
        <f>H140+H144</f>
        <v>4977</v>
      </c>
      <c r="I139" s="93">
        <f t="shared" si="61"/>
        <v>0</v>
      </c>
    </row>
    <row r="140" spans="1:9" x14ac:dyDescent="0.25">
      <c r="A140" s="160">
        <v>31</v>
      </c>
      <c r="B140" s="161"/>
      <c r="C140" s="162"/>
      <c r="D140" s="123" t="s">
        <v>23</v>
      </c>
      <c r="E140" s="94">
        <f>SUM(E141:E143)</f>
        <v>0</v>
      </c>
      <c r="F140" s="94">
        <f t="shared" ref="F140:I140" si="62">SUM(F141:F143)</f>
        <v>0</v>
      </c>
      <c r="G140" s="94">
        <f>SUM(G141:G143)</f>
        <v>3462</v>
      </c>
      <c r="H140" s="94">
        <f>SUM(H141:H143)</f>
        <v>4590</v>
      </c>
      <c r="I140" s="94">
        <f t="shared" si="62"/>
        <v>0</v>
      </c>
    </row>
    <row r="141" spans="1:9" hidden="1" x14ac:dyDescent="0.25">
      <c r="A141" s="163" t="s">
        <v>185</v>
      </c>
      <c r="B141" s="164"/>
      <c r="C141" s="165"/>
      <c r="D141" s="124" t="s">
        <v>90</v>
      </c>
      <c r="E141" s="96"/>
      <c r="F141" s="79"/>
      <c r="G141" s="110">
        <f>4000*0.15*4*1.1</f>
        <v>2640</v>
      </c>
      <c r="H141" s="110">
        <f>4000*0.15*6</f>
        <v>3600</v>
      </c>
      <c r="I141" s="80"/>
    </row>
    <row r="142" spans="1:9" hidden="1" x14ac:dyDescent="0.25">
      <c r="A142" s="163" t="s">
        <v>186</v>
      </c>
      <c r="B142" s="164"/>
      <c r="C142" s="165"/>
      <c r="D142" s="124" t="s">
        <v>91</v>
      </c>
      <c r="E142" s="96"/>
      <c r="F142" s="79"/>
      <c r="G142" s="110">
        <f>300*8*0.15</f>
        <v>360</v>
      </c>
      <c r="H142" s="110">
        <f>300*8*0.15</f>
        <v>360</v>
      </c>
      <c r="I142" s="80"/>
    </row>
    <row r="143" spans="1:9" hidden="1" x14ac:dyDescent="0.25">
      <c r="A143" s="163" t="s">
        <v>187</v>
      </c>
      <c r="B143" s="164"/>
      <c r="C143" s="165"/>
      <c r="D143" s="124" t="s">
        <v>92</v>
      </c>
      <c r="E143" s="96"/>
      <c r="F143" s="79"/>
      <c r="G143" s="110">
        <f>700*0.15*4*1.1</f>
        <v>462</v>
      </c>
      <c r="H143" s="110">
        <f>700*0.15*6</f>
        <v>630</v>
      </c>
      <c r="I143" s="80"/>
    </row>
    <row r="144" spans="1:9" x14ac:dyDescent="0.25">
      <c r="A144" s="160">
        <v>32</v>
      </c>
      <c r="B144" s="161"/>
      <c r="C144" s="162"/>
      <c r="D144" s="123" t="s">
        <v>36</v>
      </c>
      <c r="E144" s="94">
        <f>SUM(E145:E146)</f>
        <v>0</v>
      </c>
      <c r="F144" s="94">
        <f t="shared" ref="F144:I144" si="63">SUM(F145:F146)</f>
        <v>0</v>
      </c>
      <c r="G144" s="94">
        <f t="shared" si="63"/>
        <v>295.8</v>
      </c>
      <c r="H144" s="94">
        <f t="shared" si="63"/>
        <v>387</v>
      </c>
      <c r="I144" s="94">
        <f t="shared" si="63"/>
        <v>0</v>
      </c>
    </row>
    <row r="145" spans="1:9" hidden="1" x14ac:dyDescent="0.25">
      <c r="A145" s="163" t="s">
        <v>188</v>
      </c>
      <c r="B145" s="164"/>
      <c r="C145" s="165"/>
      <c r="D145" s="124" t="s">
        <v>62</v>
      </c>
      <c r="E145" s="96"/>
      <c r="F145" s="79"/>
      <c r="G145" s="110">
        <f>300*0.15</f>
        <v>45</v>
      </c>
      <c r="H145" s="110">
        <f>300*0.15</f>
        <v>45</v>
      </c>
      <c r="I145" s="80"/>
    </row>
    <row r="146" spans="1:9" hidden="1" x14ac:dyDescent="0.25">
      <c r="A146" s="163" t="s">
        <v>189</v>
      </c>
      <c r="B146" s="164"/>
      <c r="C146" s="165"/>
      <c r="D146" s="124" t="s">
        <v>93</v>
      </c>
      <c r="E146" s="96"/>
      <c r="F146" s="79"/>
      <c r="G146" s="110">
        <f>380*0.15*4*1.1</f>
        <v>250.8</v>
      </c>
      <c r="H146" s="110">
        <f>380*6*0.15</f>
        <v>342</v>
      </c>
      <c r="I146" s="80"/>
    </row>
    <row r="147" spans="1:9" ht="15" customHeight="1" x14ac:dyDescent="0.25">
      <c r="A147" s="166" t="s">
        <v>243</v>
      </c>
      <c r="B147" s="167"/>
      <c r="C147" s="168"/>
      <c r="D147" s="108" t="s">
        <v>134</v>
      </c>
      <c r="E147" s="92">
        <f>E148</f>
        <v>0</v>
      </c>
      <c r="F147" s="92">
        <f t="shared" ref="F147:I147" si="64">F148</f>
        <v>0</v>
      </c>
      <c r="G147" s="92">
        <f t="shared" si="64"/>
        <v>20627.400000000001</v>
      </c>
      <c r="H147" s="92">
        <f t="shared" si="64"/>
        <v>28203</v>
      </c>
      <c r="I147" s="92">
        <f t="shared" si="64"/>
        <v>0</v>
      </c>
    </row>
    <row r="148" spans="1:9" x14ac:dyDescent="0.25">
      <c r="A148" s="157">
        <v>3</v>
      </c>
      <c r="B148" s="158"/>
      <c r="C148" s="159"/>
      <c r="D148" s="119" t="s">
        <v>22</v>
      </c>
      <c r="E148" s="93">
        <f>E149+E153</f>
        <v>0</v>
      </c>
      <c r="F148" s="93">
        <f t="shared" ref="F148:I148" si="65">F149+F153</f>
        <v>0</v>
      </c>
      <c r="G148" s="93">
        <f>G149+G153</f>
        <v>20627.400000000001</v>
      </c>
      <c r="H148" s="93">
        <f>H149+H153</f>
        <v>28203</v>
      </c>
      <c r="I148" s="93">
        <f t="shared" si="65"/>
        <v>0</v>
      </c>
    </row>
    <row r="149" spans="1:9" x14ac:dyDescent="0.25">
      <c r="A149" s="160">
        <v>31</v>
      </c>
      <c r="B149" s="161"/>
      <c r="C149" s="162"/>
      <c r="D149" s="123" t="s">
        <v>23</v>
      </c>
      <c r="E149" s="94">
        <f>SUM(E150:E152)</f>
        <v>0</v>
      </c>
      <c r="F149" s="94">
        <f t="shared" ref="F149:I149" si="66">SUM(F150:F152)</f>
        <v>0</v>
      </c>
      <c r="G149" s="94">
        <f>SUM(G150:G152)</f>
        <v>19162.400000000001</v>
      </c>
      <c r="H149" s="94">
        <f>SUM(H150:H152)</f>
        <v>26010</v>
      </c>
      <c r="I149" s="94">
        <f t="shared" si="66"/>
        <v>0</v>
      </c>
    </row>
    <row r="150" spans="1:9" hidden="1" x14ac:dyDescent="0.25">
      <c r="A150" s="163" t="s">
        <v>185</v>
      </c>
      <c r="B150" s="164"/>
      <c r="C150" s="165"/>
      <c r="D150" s="124" t="s">
        <v>90</v>
      </c>
      <c r="E150" s="96"/>
      <c r="F150" s="79"/>
      <c r="G150" s="110">
        <f>4000*0.85*4*1.1</f>
        <v>14960</v>
      </c>
      <c r="H150" s="110">
        <f>4000*0.85*6</f>
        <v>20400</v>
      </c>
      <c r="I150" s="80"/>
    </row>
    <row r="151" spans="1:9" hidden="1" x14ac:dyDescent="0.25">
      <c r="A151" s="163" t="s">
        <v>186</v>
      </c>
      <c r="B151" s="164"/>
      <c r="C151" s="165"/>
      <c r="D151" s="124" t="s">
        <v>91</v>
      </c>
      <c r="E151" s="96"/>
      <c r="F151" s="79"/>
      <c r="G151" s="110">
        <f>233*8*0.85</f>
        <v>1584.4</v>
      </c>
      <c r="H151" s="110">
        <f>300*8*0.85</f>
        <v>2040</v>
      </c>
      <c r="I151" s="80"/>
    </row>
    <row r="152" spans="1:9" hidden="1" x14ac:dyDescent="0.25">
      <c r="A152" s="163" t="s">
        <v>187</v>
      </c>
      <c r="B152" s="164"/>
      <c r="C152" s="165"/>
      <c r="D152" s="124" t="s">
        <v>92</v>
      </c>
      <c r="E152" s="96"/>
      <c r="F152" s="79"/>
      <c r="G152" s="110">
        <f>700*0.85*4*1.1</f>
        <v>2618</v>
      </c>
      <c r="H152" s="110">
        <f>700*0.85*6</f>
        <v>3570</v>
      </c>
      <c r="I152" s="80"/>
    </row>
    <row r="153" spans="1:9" x14ac:dyDescent="0.25">
      <c r="A153" s="160">
        <v>32</v>
      </c>
      <c r="B153" s="161"/>
      <c r="C153" s="162"/>
      <c r="D153" s="123" t="s">
        <v>36</v>
      </c>
      <c r="E153" s="94">
        <f>SUM(E154:E155)</f>
        <v>0</v>
      </c>
      <c r="F153" s="94">
        <f t="shared" ref="F153:I153" si="67">SUM(F154:F155)</f>
        <v>0</v>
      </c>
      <c r="G153" s="94">
        <f t="shared" si="67"/>
        <v>1465</v>
      </c>
      <c r="H153" s="94">
        <f t="shared" si="67"/>
        <v>2193</v>
      </c>
      <c r="I153" s="94">
        <f t="shared" si="67"/>
        <v>0</v>
      </c>
    </row>
    <row r="154" spans="1:9" hidden="1" x14ac:dyDescent="0.25">
      <c r="A154" s="163" t="s">
        <v>188</v>
      </c>
      <c r="B154" s="164"/>
      <c r="C154" s="165"/>
      <c r="D154" s="124" t="s">
        <v>62</v>
      </c>
      <c r="E154" s="96"/>
      <c r="F154" s="79"/>
      <c r="G154" s="110">
        <f>300*0.85</f>
        <v>255</v>
      </c>
      <c r="H154" s="110">
        <f>300*0.85</f>
        <v>255</v>
      </c>
      <c r="I154" s="80"/>
    </row>
    <row r="155" spans="1:9" hidden="1" x14ac:dyDescent="0.25">
      <c r="A155" s="163" t="s">
        <v>189</v>
      </c>
      <c r="B155" s="164"/>
      <c r="C155" s="165"/>
      <c r="D155" s="124" t="s">
        <v>93</v>
      </c>
      <c r="E155" s="96"/>
      <c r="F155" s="79"/>
      <c r="G155" s="110">
        <f>275*4*1.1</f>
        <v>1210</v>
      </c>
      <c r="H155" s="110">
        <f>380*6*0.85</f>
        <v>1938</v>
      </c>
      <c r="I155" s="80"/>
    </row>
    <row r="156" spans="1:9" ht="14.25" customHeight="1" x14ac:dyDescent="0.25">
      <c r="A156" s="169" t="s">
        <v>267</v>
      </c>
      <c r="B156" s="170"/>
      <c r="C156" s="171"/>
      <c r="D156" s="118" t="s">
        <v>269</v>
      </c>
      <c r="E156" s="91">
        <f>E157+E166</f>
        <v>0</v>
      </c>
      <c r="F156" s="91">
        <f t="shared" ref="F156:I156" si="68">F157+F166</f>
        <v>0</v>
      </c>
      <c r="G156" s="91">
        <f t="shared" si="68"/>
        <v>0</v>
      </c>
      <c r="H156" s="91">
        <f t="shared" si="68"/>
        <v>24385.200000000001</v>
      </c>
      <c r="I156" s="91">
        <f t="shared" si="68"/>
        <v>33180</v>
      </c>
    </row>
    <row r="157" spans="1:9" ht="15" customHeight="1" x14ac:dyDescent="0.25">
      <c r="A157" s="166" t="s">
        <v>128</v>
      </c>
      <c r="B157" s="167"/>
      <c r="C157" s="168"/>
      <c r="D157" s="108" t="s">
        <v>18</v>
      </c>
      <c r="E157" s="92">
        <f>E158</f>
        <v>0</v>
      </c>
      <c r="F157" s="92">
        <f t="shared" ref="F157:I157" si="69">F158</f>
        <v>0</v>
      </c>
      <c r="G157" s="92">
        <f t="shared" si="69"/>
        <v>0</v>
      </c>
      <c r="H157" s="92">
        <f t="shared" si="69"/>
        <v>3757.8</v>
      </c>
      <c r="I157" s="92">
        <f t="shared" si="69"/>
        <v>4977</v>
      </c>
    </row>
    <row r="158" spans="1:9" x14ac:dyDescent="0.25">
      <c r="A158" s="157">
        <v>3</v>
      </c>
      <c r="B158" s="158"/>
      <c r="C158" s="159"/>
      <c r="D158" s="119" t="s">
        <v>22</v>
      </c>
      <c r="E158" s="93">
        <f>E159+E163</f>
        <v>0</v>
      </c>
      <c r="F158" s="93">
        <f t="shared" ref="F158:I158" si="70">F159+F163</f>
        <v>0</v>
      </c>
      <c r="G158" s="93">
        <f t="shared" si="70"/>
        <v>0</v>
      </c>
      <c r="H158" s="93">
        <f t="shared" si="70"/>
        <v>3757.8</v>
      </c>
      <c r="I158" s="93">
        <f t="shared" si="70"/>
        <v>4977</v>
      </c>
    </row>
    <row r="159" spans="1:9" x14ac:dyDescent="0.25">
      <c r="A159" s="160">
        <v>31</v>
      </c>
      <c r="B159" s="161"/>
      <c r="C159" s="162"/>
      <c r="D159" s="123" t="s">
        <v>23</v>
      </c>
      <c r="E159" s="94">
        <f>SUM(E160:E162)</f>
        <v>0</v>
      </c>
      <c r="F159" s="94">
        <f t="shared" ref="F159:I159" si="71">SUM(F160:F162)</f>
        <v>0</v>
      </c>
      <c r="G159" s="94">
        <f t="shared" si="71"/>
        <v>0</v>
      </c>
      <c r="H159" s="94">
        <f t="shared" si="71"/>
        <v>3462</v>
      </c>
      <c r="I159" s="94">
        <f t="shared" si="71"/>
        <v>4590</v>
      </c>
    </row>
    <row r="160" spans="1:9" hidden="1" x14ac:dyDescent="0.25">
      <c r="A160" s="163" t="s">
        <v>185</v>
      </c>
      <c r="B160" s="164"/>
      <c r="C160" s="165"/>
      <c r="D160" s="124" t="s">
        <v>90</v>
      </c>
      <c r="E160" s="96"/>
      <c r="F160" s="79"/>
      <c r="G160" s="83"/>
      <c r="H160" s="110">
        <f>4000*0.15*4*1.1</f>
        <v>2640</v>
      </c>
      <c r="I160" s="110">
        <f>4000*0.15*6</f>
        <v>3600</v>
      </c>
    </row>
    <row r="161" spans="1:9" hidden="1" x14ac:dyDescent="0.25">
      <c r="A161" s="163" t="s">
        <v>186</v>
      </c>
      <c r="B161" s="164"/>
      <c r="C161" s="165"/>
      <c r="D161" s="124" t="s">
        <v>91</v>
      </c>
      <c r="E161" s="96"/>
      <c r="F161" s="79"/>
      <c r="G161" s="83"/>
      <c r="H161" s="110">
        <f>300*8*0.15</f>
        <v>360</v>
      </c>
      <c r="I161" s="110">
        <f>300*8*0.15</f>
        <v>360</v>
      </c>
    </row>
    <row r="162" spans="1:9" hidden="1" x14ac:dyDescent="0.25">
      <c r="A162" s="163" t="s">
        <v>187</v>
      </c>
      <c r="B162" s="164"/>
      <c r="C162" s="165"/>
      <c r="D162" s="124" t="s">
        <v>92</v>
      </c>
      <c r="E162" s="96"/>
      <c r="F162" s="79"/>
      <c r="G162" s="83"/>
      <c r="H162" s="110">
        <f>700*0.15*4*1.1</f>
        <v>462</v>
      </c>
      <c r="I162" s="110">
        <f>700*0.15*6</f>
        <v>630</v>
      </c>
    </row>
    <row r="163" spans="1:9" x14ac:dyDescent="0.25">
      <c r="A163" s="160">
        <v>32</v>
      </c>
      <c r="B163" s="161"/>
      <c r="C163" s="162"/>
      <c r="D163" s="123" t="s">
        <v>36</v>
      </c>
      <c r="E163" s="94">
        <f>SUM(E164:E165)</f>
        <v>0</v>
      </c>
      <c r="F163" s="94">
        <f t="shared" ref="F163:I163" si="72">SUM(F164:F165)</f>
        <v>0</v>
      </c>
      <c r="G163" s="94">
        <f t="shared" si="72"/>
        <v>0</v>
      </c>
      <c r="H163" s="94">
        <f t="shared" si="72"/>
        <v>295.8</v>
      </c>
      <c r="I163" s="94">
        <f t="shared" si="72"/>
        <v>387</v>
      </c>
    </row>
    <row r="164" spans="1:9" hidden="1" x14ac:dyDescent="0.25">
      <c r="A164" s="163" t="s">
        <v>188</v>
      </c>
      <c r="B164" s="164"/>
      <c r="C164" s="165"/>
      <c r="D164" s="124" t="s">
        <v>62</v>
      </c>
      <c r="E164" s="96"/>
      <c r="F164" s="79"/>
      <c r="G164" s="83"/>
      <c r="H164" s="110">
        <f>300*0.15</f>
        <v>45</v>
      </c>
      <c r="I164" s="110">
        <f>300*0.15</f>
        <v>45</v>
      </c>
    </row>
    <row r="165" spans="1:9" hidden="1" x14ac:dyDescent="0.25">
      <c r="A165" s="163" t="s">
        <v>189</v>
      </c>
      <c r="B165" s="164"/>
      <c r="C165" s="165"/>
      <c r="D165" s="124" t="s">
        <v>93</v>
      </c>
      <c r="E165" s="96"/>
      <c r="F165" s="79"/>
      <c r="G165" s="83"/>
      <c r="H165" s="110">
        <f>380*0.15*4*1.1</f>
        <v>250.8</v>
      </c>
      <c r="I165" s="110">
        <f>380*6*0.15</f>
        <v>342</v>
      </c>
    </row>
    <row r="166" spans="1:9" ht="15" customHeight="1" x14ac:dyDescent="0.25">
      <c r="A166" s="166" t="s">
        <v>243</v>
      </c>
      <c r="B166" s="167"/>
      <c r="C166" s="168"/>
      <c r="D166" s="108" t="s">
        <v>134</v>
      </c>
      <c r="E166" s="92">
        <f>E167</f>
        <v>0</v>
      </c>
      <c r="F166" s="92">
        <f t="shared" ref="F166:I166" si="73">F167</f>
        <v>0</v>
      </c>
      <c r="G166" s="92">
        <f t="shared" si="73"/>
        <v>0</v>
      </c>
      <c r="H166" s="92">
        <f t="shared" si="73"/>
        <v>20627.400000000001</v>
      </c>
      <c r="I166" s="92">
        <f t="shared" si="73"/>
        <v>28203</v>
      </c>
    </row>
    <row r="167" spans="1:9" x14ac:dyDescent="0.25">
      <c r="A167" s="157">
        <v>3</v>
      </c>
      <c r="B167" s="158"/>
      <c r="C167" s="159"/>
      <c r="D167" s="119" t="s">
        <v>22</v>
      </c>
      <c r="E167" s="93">
        <f>E168+E172</f>
        <v>0</v>
      </c>
      <c r="F167" s="93">
        <f t="shared" ref="F167:I167" si="74">F168+F172</f>
        <v>0</v>
      </c>
      <c r="G167" s="93">
        <f t="shared" si="74"/>
        <v>0</v>
      </c>
      <c r="H167" s="93">
        <f t="shared" si="74"/>
        <v>20627.400000000001</v>
      </c>
      <c r="I167" s="93">
        <f t="shared" si="74"/>
        <v>28203</v>
      </c>
    </row>
    <row r="168" spans="1:9" x14ac:dyDescent="0.25">
      <c r="A168" s="160">
        <v>31</v>
      </c>
      <c r="B168" s="161"/>
      <c r="C168" s="162"/>
      <c r="D168" s="123" t="s">
        <v>23</v>
      </c>
      <c r="E168" s="94">
        <f>SUM(E169:E171)</f>
        <v>0</v>
      </c>
      <c r="F168" s="94">
        <f t="shared" ref="F168:I168" si="75">SUM(F169:F171)</f>
        <v>0</v>
      </c>
      <c r="G168" s="94">
        <f t="shared" si="75"/>
        <v>0</v>
      </c>
      <c r="H168" s="94">
        <f t="shared" si="75"/>
        <v>19162.400000000001</v>
      </c>
      <c r="I168" s="94">
        <f t="shared" si="75"/>
        <v>26010</v>
      </c>
    </row>
    <row r="169" spans="1:9" hidden="1" x14ac:dyDescent="0.25">
      <c r="A169" s="163" t="s">
        <v>185</v>
      </c>
      <c r="B169" s="164"/>
      <c r="C169" s="165"/>
      <c r="D169" s="124" t="s">
        <v>90</v>
      </c>
      <c r="E169" s="96"/>
      <c r="F169" s="79"/>
      <c r="G169" s="83"/>
      <c r="H169" s="110">
        <f>4000*0.85*4*1.1</f>
        <v>14960</v>
      </c>
      <c r="I169" s="110">
        <f>4000*0.85*6</f>
        <v>20400</v>
      </c>
    </row>
    <row r="170" spans="1:9" hidden="1" x14ac:dyDescent="0.25">
      <c r="A170" s="163" t="s">
        <v>186</v>
      </c>
      <c r="B170" s="164"/>
      <c r="C170" s="165"/>
      <c r="D170" s="124" t="s">
        <v>91</v>
      </c>
      <c r="E170" s="96"/>
      <c r="F170" s="79"/>
      <c r="G170" s="83"/>
      <c r="H170" s="110">
        <f>233*8*0.85</f>
        <v>1584.4</v>
      </c>
      <c r="I170" s="110">
        <f>300*8*0.85</f>
        <v>2040</v>
      </c>
    </row>
    <row r="171" spans="1:9" hidden="1" x14ac:dyDescent="0.25">
      <c r="A171" s="163" t="s">
        <v>187</v>
      </c>
      <c r="B171" s="164"/>
      <c r="C171" s="165"/>
      <c r="D171" s="124" t="s">
        <v>92</v>
      </c>
      <c r="E171" s="96"/>
      <c r="F171" s="79"/>
      <c r="G171" s="83"/>
      <c r="H171" s="110">
        <f>700*0.85*4*1.1</f>
        <v>2618</v>
      </c>
      <c r="I171" s="110">
        <f>700*0.85*6</f>
        <v>3570</v>
      </c>
    </row>
    <row r="172" spans="1:9" x14ac:dyDescent="0.25">
      <c r="A172" s="160">
        <v>32</v>
      </c>
      <c r="B172" s="161"/>
      <c r="C172" s="162"/>
      <c r="D172" s="123" t="s">
        <v>36</v>
      </c>
      <c r="E172" s="94">
        <f>SUM(E173:E174)</f>
        <v>0</v>
      </c>
      <c r="F172" s="94">
        <f t="shared" ref="F172:H172" si="76">SUM(F173:F174)</f>
        <v>0</v>
      </c>
      <c r="G172" s="94">
        <f t="shared" si="76"/>
        <v>0</v>
      </c>
      <c r="H172" s="94">
        <f t="shared" si="76"/>
        <v>1465</v>
      </c>
      <c r="I172" s="94">
        <f>SUM(I173:I174)</f>
        <v>2193</v>
      </c>
    </row>
    <row r="173" spans="1:9" hidden="1" x14ac:dyDescent="0.25">
      <c r="A173" s="163" t="s">
        <v>188</v>
      </c>
      <c r="B173" s="164"/>
      <c r="C173" s="165"/>
      <c r="D173" s="124" t="s">
        <v>62</v>
      </c>
      <c r="E173" s="96"/>
      <c r="F173" s="79"/>
      <c r="G173" s="83"/>
      <c r="H173" s="110">
        <f>300*0.85</f>
        <v>255</v>
      </c>
      <c r="I173" s="110">
        <f>300*0.85</f>
        <v>255</v>
      </c>
    </row>
    <row r="174" spans="1:9" hidden="1" x14ac:dyDescent="0.25">
      <c r="A174" s="163" t="s">
        <v>189</v>
      </c>
      <c r="B174" s="164"/>
      <c r="C174" s="165"/>
      <c r="D174" s="124" t="s">
        <v>93</v>
      </c>
      <c r="E174" s="96"/>
      <c r="F174" s="79"/>
      <c r="G174" s="83"/>
      <c r="H174" s="110">
        <f>275*4*1.1</f>
        <v>1210</v>
      </c>
      <c r="I174" s="110">
        <f>380*6*0.85</f>
        <v>1938</v>
      </c>
    </row>
    <row r="175" spans="1:9" ht="14.25" customHeight="1" x14ac:dyDescent="0.25">
      <c r="A175" s="169" t="s">
        <v>267</v>
      </c>
      <c r="B175" s="170"/>
      <c r="C175" s="171"/>
      <c r="D175" s="118" t="s">
        <v>268</v>
      </c>
      <c r="E175" s="107">
        <f>E176+E185</f>
        <v>0</v>
      </c>
      <c r="F175" s="107">
        <f t="shared" ref="F175:I175" si="77">F176+F185</f>
        <v>0</v>
      </c>
      <c r="G175" s="107">
        <f t="shared" si="77"/>
        <v>0</v>
      </c>
      <c r="H175" s="107">
        <f t="shared" si="77"/>
        <v>0</v>
      </c>
      <c r="I175" s="107">
        <f t="shared" si="77"/>
        <v>24385.200000000001</v>
      </c>
    </row>
    <row r="176" spans="1:9" ht="15" customHeight="1" x14ac:dyDescent="0.25">
      <c r="A176" s="166" t="s">
        <v>128</v>
      </c>
      <c r="B176" s="167"/>
      <c r="C176" s="168"/>
      <c r="D176" s="108" t="s">
        <v>18</v>
      </c>
      <c r="E176" s="108">
        <f>E177</f>
        <v>0</v>
      </c>
      <c r="F176" s="108">
        <f t="shared" ref="F176:I176" si="78">F177</f>
        <v>0</v>
      </c>
      <c r="G176" s="108">
        <f t="shared" si="78"/>
        <v>0</v>
      </c>
      <c r="H176" s="108">
        <f t="shared" si="78"/>
        <v>0</v>
      </c>
      <c r="I176" s="108">
        <f t="shared" si="78"/>
        <v>3757.8</v>
      </c>
    </row>
    <row r="177" spans="1:9" x14ac:dyDescent="0.25">
      <c r="A177" s="157">
        <v>3</v>
      </c>
      <c r="B177" s="158"/>
      <c r="C177" s="159"/>
      <c r="D177" s="119" t="s">
        <v>22</v>
      </c>
      <c r="E177" s="109">
        <f>E178+E182</f>
        <v>0</v>
      </c>
      <c r="F177" s="109">
        <f t="shared" ref="F177:I177" si="79">F178+F182</f>
        <v>0</v>
      </c>
      <c r="G177" s="109">
        <f t="shared" si="79"/>
        <v>0</v>
      </c>
      <c r="H177" s="109">
        <f t="shared" si="79"/>
        <v>0</v>
      </c>
      <c r="I177" s="109">
        <f t="shared" si="79"/>
        <v>3757.8</v>
      </c>
    </row>
    <row r="178" spans="1:9" x14ac:dyDescent="0.25">
      <c r="A178" s="160">
        <v>31</v>
      </c>
      <c r="B178" s="161"/>
      <c r="C178" s="162"/>
      <c r="D178" s="123" t="s">
        <v>23</v>
      </c>
      <c r="E178" s="106">
        <f>SUM(E179:E181)</f>
        <v>0</v>
      </c>
      <c r="F178" s="106">
        <f t="shared" ref="F178:I178" si="80">SUM(F179:F181)</f>
        <v>0</v>
      </c>
      <c r="G178" s="106">
        <f t="shared" si="80"/>
        <v>0</v>
      </c>
      <c r="H178" s="106">
        <f t="shared" si="80"/>
        <v>0</v>
      </c>
      <c r="I178" s="106">
        <f t="shared" si="80"/>
        <v>3462</v>
      </c>
    </row>
    <row r="179" spans="1:9" hidden="1" x14ac:dyDescent="0.25">
      <c r="A179" s="163" t="s">
        <v>185</v>
      </c>
      <c r="B179" s="164"/>
      <c r="C179" s="165"/>
      <c r="D179" s="124" t="s">
        <v>90</v>
      </c>
      <c r="E179" s="111"/>
      <c r="F179" s="79"/>
      <c r="G179" s="79"/>
      <c r="H179" s="79"/>
      <c r="I179" s="110">
        <f>4000*0.15*4*1.1</f>
        <v>2640</v>
      </c>
    </row>
    <row r="180" spans="1:9" hidden="1" x14ac:dyDescent="0.25">
      <c r="A180" s="163" t="s">
        <v>186</v>
      </c>
      <c r="B180" s="164"/>
      <c r="C180" s="165"/>
      <c r="D180" s="124" t="s">
        <v>91</v>
      </c>
      <c r="E180" s="111"/>
      <c r="F180" s="79"/>
      <c r="G180" s="79"/>
      <c r="H180" s="79"/>
      <c r="I180" s="110">
        <f>300*8*0.15</f>
        <v>360</v>
      </c>
    </row>
    <row r="181" spans="1:9" hidden="1" x14ac:dyDescent="0.25">
      <c r="A181" s="163" t="s">
        <v>187</v>
      </c>
      <c r="B181" s="164"/>
      <c r="C181" s="165"/>
      <c r="D181" s="124" t="s">
        <v>92</v>
      </c>
      <c r="E181" s="111"/>
      <c r="F181" s="79"/>
      <c r="G181" s="79"/>
      <c r="H181" s="79"/>
      <c r="I181" s="110">
        <f>700*0.15*4*1.1</f>
        <v>462</v>
      </c>
    </row>
    <row r="182" spans="1:9" x14ac:dyDescent="0.25">
      <c r="A182" s="160">
        <v>32</v>
      </c>
      <c r="B182" s="161"/>
      <c r="C182" s="162"/>
      <c r="D182" s="123" t="s">
        <v>36</v>
      </c>
      <c r="E182" s="106">
        <f>SUM(E183:E184)</f>
        <v>0</v>
      </c>
      <c r="F182" s="106">
        <f t="shared" ref="F182:I182" si="81">SUM(F183:F184)</f>
        <v>0</v>
      </c>
      <c r="G182" s="106">
        <f t="shared" si="81"/>
        <v>0</v>
      </c>
      <c r="H182" s="106">
        <f t="shared" si="81"/>
        <v>0</v>
      </c>
      <c r="I182" s="94">
        <f t="shared" si="81"/>
        <v>295.8</v>
      </c>
    </row>
    <row r="183" spans="1:9" hidden="1" x14ac:dyDescent="0.25">
      <c r="A183" s="163" t="s">
        <v>188</v>
      </c>
      <c r="B183" s="164"/>
      <c r="C183" s="165"/>
      <c r="D183" s="124" t="s">
        <v>62</v>
      </c>
      <c r="E183" s="111"/>
      <c r="F183" s="79"/>
      <c r="G183" s="79"/>
      <c r="H183" s="79"/>
      <c r="I183" s="110">
        <f>300*0.15</f>
        <v>45</v>
      </c>
    </row>
    <row r="184" spans="1:9" hidden="1" x14ac:dyDescent="0.25">
      <c r="A184" s="163" t="s">
        <v>189</v>
      </c>
      <c r="B184" s="164"/>
      <c r="C184" s="165"/>
      <c r="D184" s="124" t="s">
        <v>93</v>
      </c>
      <c r="E184" s="111"/>
      <c r="F184" s="79"/>
      <c r="G184" s="79"/>
      <c r="H184" s="79"/>
      <c r="I184" s="110">
        <f>380*0.15*4*1.1</f>
        <v>250.8</v>
      </c>
    </row>
    <row r="185" spans="1:9" ht="15" customHeight="1" x14ac:dyDescent="0.25">
      <c r="A185" s="166" t="s">
        <v>243</v>
      </c>
      <c r="B185" s="167"/>
      <c r="C185" s="168"/>
      <c r="D185" s="108" t="s">
        <v>134</v>
      </c>
      <c r="E185" s="108">
        <f>E186</f>
        <v>0</v>
      </c>
      <c r="F185" s="108">
        <f t="shared" ref="F185:I185" si="82">F186</f>
        <v>0</v>
      </c>
      <c r="G185" s="108">
        <f t="shared" si="82"/>
        <v>0</v>
      </c>
      <c r="H185" s="108">
        <f t="shared" si="82"/>
        <v>0</v>
      </c>
      <c r="I185" s="108">
        <f t="shared" si="82"/>
        <v>20627.400000000001</v>
      </c>
    </row>
    <row r="186" spans="1:9" x14ac:dyDescent="0.25">
      <c r="A186" s="157">
        <v>3</v>
      </c>
      <c r="B186" s="158"/>
      <c r="C186" s="159"/>
      <c r="D186" s="119" t="s">
        <v>22</v>
      </c>
      <c r="E186" s="109">
        <f>E187+E191</f>
        <v>0</v>
      </c>
      <c r="F186" s="109">
        <f t="shared" ref="F186:I186" si="83">F187+F191</f>
        <v>0</v>
      </c>
      <c r="G186" s="109">
        <f t="shared" si="83"/>
        <v>0</v>
      </c>
      <c r="H186" s="109">
        <f t="shared" si="83"/>
        <v>0</v>
      </c>
      <c r="I186" s="109">
        <f t="shared" si="83"/>
        <v>20627.400000000001</v>
      </c>
    </row>
    <row r="187" spans="1:9" x14ac:dyDescent="0.25">
      <c r="A187" s="160">
        <v>31</v>
      </c>
      <c r="B187" s="161"/>
      <c r="C187" s="162"/>
      <c r="D187" s="123" t="s">
        <v>23</v>
      </c>
      <c r="E187" s="106">
        <f>SUM(E188:E190)</f>
        <v>0</v>
      </c>
      <c r="F187" s="106">
        <f t="shared" ref="F187:I187" si="84">SUM(F188:F190)</f>
        <v>0</v>
      </c>
      <c r="G187" s="106">
        <f t="shared" si="84"/>
        <v>0</v>
      </c>
      <c r="H187" s="106">
        <f t="shared" si="84"/>
        <v>0</v>
      </c>
      <c r="I187" s="106">
        <f t="shared" si="84"/>
        <v>19162.400000000001</v>
      </c>
    </row>
    <row r="188" spans="1:9" hidden="1" x14ac:dyDescent="0.25">
      <c r="A188" s="163" t="s">
        <v>185</v>
      </c>
      <c r="B188" s="164"/>
      <c r="C188" s="165"/>
      <c r="D188" s="124" t="s">
        <v>90</v>
      </c>
      <c r="E188" s="78"/>
      <c r="F188" s="79"/>
      <c r="G188" s="79"/>
      <c r="H188" s="79"/>
      <c r="I188" s="110">
        <f>4000*0.85*4*1.1</f>
        <v>14960</v>
      </c>
    </row>
    <row r="189" spans="1:9" hidden="1" x14ac:dyDescent="0.25">
      <c r="A189" s="163" t="s">
        <v>186</v>
      </c>
      <c r="B189" s="164"/>
      <c r="C189" s="165"/>
      <c r="D189" s="124" t="s">
        <v>91</v>
      </c>
      <c r="E189" s="111"/>
      <c r="F189" s="79"/>
      <c r="G189" s="79"/>
      <c r="H189" s="79"/>
      <c r="I189" s="110">
        <f>233*8*0.85</f>
        <v>1584.4</v>
      </c>
    </row>
    <row r="190" spans="1:9" hidden="1" x14ac:dyDescent="0.25">
      <c r="A190" s="163" t="s">
        <v>187</v>
      </c>
      <c r="B190" s="164"/>
      <c r="C190" s="165"/>
      <c r="D190" s="124" t="s">
        <v>92</v>
      </c>
      <c r="E190" s="111"/>
      <c r="F190" s="79"/>
      <c r="G190" s="79"/>
      <c r="H190" s="79"/>
      <c r="I190" s="110">
        <f>700*0.85*4*1.1</f>
        <v>2618</v>
      </c>
    </row>
    <row r="191" spans="1:9" x14ac:dyDescent="0.25">
      <c r="A191" s="160">
        <v>32</v>
      </c>
      <c r="B191" s="161"/>
      <c r="C191" s="162"/>
      <c r="D191" s="123" t="s">
        <v>36</v>
      </c>
      <c r="E191" s="94">
        <f>SUM(E192:E193)</f>
        <v>0</v>
      </c>
      <c r="F191" s="94">
        <f t="shared" ref="F191" si="85">SUM(F192:F193)</f>
        <v>0</v>
      </c>
      <c r="G191" s="94">
        <f t="shared" ref="G191" si="86">SUM(G192:G193)</f>
        <v>0</v>
      </c>
      <c r="H191" s="94">
        <f t="shared" ref="H191:I191" si="87">SUM(H192:H193)</f>
        <v>0</v>
      </c>
      <c r="I191" s="94">
        <f t="shared" si="87"/>
        <v>1465</v>
      </c>
    </row>
    <row r="192" spans="1:9" hidden="1" x14ac:dyDescent="0.25">
      <c r="A192" s="163" t="s">
        <v>188</v>
      </c>
      <c r="B192" s="164"/>
      <c r="C192" s="165"/>
      <c r="D192" s="124" t="s">
        <v>62</v>
      </c>
      <c r="E192" s="96"/>
      <c r="F192" s="79"/>
      <c r="G192" s="83"/>
      <c r="H192" s="79"/>
      <c r="I192" s="110">
        <f>300*0.85</f>
        <v>255</v>
      </c>
    </row>
    <row r="193" spans="1:17" hidden="1" x14ac:dyDescent="0.25">
      <c r="A193" s="163" t="s">
        <v>189</v>
      </c>
      <c r="B193" s="164"/>
      <c r="C193" s="165"/>
      <c r="D193" s="124" t="s">
        <v>93</v>
      </c>
      <c r="E193" s="96"/>
      <c r="F193" s="79"/>
      <c r="G193" s="83"/>
      <c r="H193" s="79"/>
      <c r="I193" s="110">
        <f>275*4*1.1</f>
        <v>1210</v>
      </c>
    </row>
    <row r="194" spans="1:17" x14ac:dyDescent="0.25">
      <c r="A194" s="175" t="s">
        <v>225</v>
      </c>
      <c r="B194" s="176"/>
      <c r="C194" s="177"/>
      <c r="D194" s="122" t="s">
        <v>94</v>
      </c>
      <c r="E194" s="98">
        <f>E195+E201+E206</f>
        <v>53846.86</v>
      </c>
      <c r="F194" s="98">
        <f t="shared" ref="F194:I194" si="88">F195+F201+F206</f>
        <v>0</v>
      </c>
      <c r="G194" s="98">
        <f t="shared" si="88"/>
        <v>0</v>
      </c>
      <c r="H194" s="98">
        <f t="shared" si="88"/>
        <v>0</v>
      </c>
      <c r="I194" s="98">
        <f t="shared" si="88"/>
        <v>0</v>
      </c>
      <c r="L194" s="66"/>
      <c r="M194" s="66"/>
      <c r="N194" s="66"/>
      <c r="O194" s="66"/>
      <c r="P194" s="66"/>
      <c r="Q194" s="66"/>
    </row>
    <row r="195" spans="1:17" ht="15" customHeight="1" x14ac:dyDescent="0.25">
      <c r="A195" s="169" t="s">
        <v>226</v>
      </c>
      <c r="B195" s="170"/>
      <c r="C195" s="171"/>
      <c r="D195" s="118" t="s">
        <v>95</v>
      </c>
      <c r="E195" s="91">
        <f>E196</f>
        <v>18343.509999999998</v>
      </c>
      <c r="F195" s="91">
        <f t="shared" ref="F195:I195" si="89">F196</f>
        <v>0</v>
      </c>
      <c r="G195" s="91">
        <f t="shared" si="89"/>
        <v>0</v>
      </c>
      <c r="H195" s="91">
        <f t="shared" si="89"/>
        <v>0</v>
      </c>
      <c r="I195" s="91">
        <f t="shared" si="89"/>
        <v>0</v>
      </c>
    </row>
    <row r="196" spans="1:17" ht="15" customHeight="1" x14ac:dyDescent="0.25">
      <c r="A196" s="166" t="s">
        <v>128</v>
      </c>
      <c r="B196" s="167"/>
      <c r="C196" s="168"/>
      <c r="D196" s="108" t="s">
        <v>18</v>
      </c>
      <c r="E196" s="92">
        <f>E197</f>
        <v>18343.509999999998</v>
      </c>
      <c r="F196" s="92">
        <f t="shared" ref="F196:I196" si="90">F197</f>
        <v>0</v>
      </c>
      <c r="G196" s="92">
        <f t="shared" si="90"/>
        <v>0</v>
      </c>
      <c r="H196" s="92">
        <f t="shared" si="90"/>
        <v>0</v>
      </c>
      <c r="I196" s="92">
        <f t="shared" si="90"/>
        <v>0</v>
      </c>
    </row>
    <row r="197" spans="1:17" ht="25.5" x14ac:dyDescent="0.25">
      <c r="A197" s="157">
        <v>4</v>
      </c>
      <c r="B197" s="158"/>
      <c r="C197" s="159"/>
      <c r="D197" s="119" t="s">
        <v>24</v>
      </c>
      <c r="E197" s="93">
        <f>E198</f>
        <v>18343.509999999998</v>
      </c>
      <c r="F197" s="93">
        <f t="shared" ref="F197:I197" si="91">F198</f>
        <v>0</v>
      </c>
      <c r="G197" s="93">
        <f t="shared" si="91"/>
        <v>0</v>
      </c>
      <c r="H197" s="93">
        <f t="shared" si="91"/>
        <v>0</v>
      </c>
      <c r="I197" s="93">
        <f t="shared" si="91"/>
        <v>0</v>
      </c>
    </row>
    <row r="198" spans="1:17" ht="25.5" x14ac:dyDescent="0.25">
      <c r="A198" s="160">
        <v>42</v>
      </c>
      <c r="B198" s="161"/>
      <c r="C198" s="162"/>
      <c r="D198" s="123" t="s">
        <v>215</v>
      </c>
      <c r="E198" s="94">
        <f>SUM(E199:E200)</f>
        <v>18343.509999999998</v>
      </c>
      <c r="F198" s="94">
        <f t="shared" ref="F198:I198" si="92">SUM(F199:F200)</f>
        <v>0</v>
      </c>
      <c r="G198" s="94">
        <f t="shared" si="92"/>
        <v>0</v>
      </c>
      <c r="H198" s="94">
        <f t="shared" si="92"/>
        <v>0</v>
      </c>
      <c r="I198" s="94">
        <f t="shared" si="92"/>
        <v>0</v>
      </c>
    </row>
    <row r="199" spans="1:17" hidden="1" x14ac:dyDescent="0.25">
      <c r="A199" s="163" t="s">
        <v>193</v>
      </c>
      <c r="B199" s="164"/>
      <c r="C199" s="165"/>
      <c r="D199" s="121" t="s">
        <v>109</v>
      </c>
      <c r="E199" s="96">
        <f>108209.19/K1</f>
        <v>14361.83</v>
      </c>
      <c r="F199" s="79"/>
      <c r="G199" s="79"/>
      <c r="H199" s="79"/>
      <c r="I199" s="80"/>
    </row>
    <row r="200" spans="1:17" hidden="1" x14ac:dyDescent="0.25">
      <c r="A200" s="163" t="s">
        <v>195</v>
      </c>
      <c r="B200" s="164"/>
      <c r="C200" s="165"/>
      <c r="D200" s="121" t="s">
        <v>254</v>
      </c>
      <c r="E200" s="96">
        <f>30000/K1</f>
        <v>3981.68</v>
      </c>
      <c r="F200" s="79"/>
      <c r="G200" s="79"/>
      <c r="H200" s="79"/>
      <c r="I200" s="80"/>
    </row>
    <row r="201" spans="1:17" ht="15" customHeight="1" x14ac:dyDescent="0.25">
      <c r="A201" s="169" t="s">
        <v>227</v>
      </c>
      <c r="B201" s="170"/>
      <c r="C201" s="171"/>
      <c r="D201" s="118" t="s">
        <v>231</v>
      </c>
      <c r="E201" s="91">
        <f>E202</f>
        <v>32185.279999999999</v>
      </c>
      <c r="F201" s="91">
        <f t="shared" ref="F201:I201" si="93">F202</f>
        <v>0</v>
      </c>
      <c r="G201" s="91">
        <f t="shared" si="93"/>
        <v>0</v>
      </c>
      <c r="H201" s="91">
        <f t="shared" si="93"/>
        <v>0</v>
      </c>
      <c r="I201" s="91">
        <f t="shared" si="93"/>
        <v>0</v>
      </c>
    </row>
    <row r="202" spans="1:17" ht="15" customHeight="1" x14ac:dyDescent="0.25">
      <c r="A202" s="166" t="s">
        <v>128</v>
      </c>
      <c r="B202" s="167"/>
      <c r="C202" s="168"/>
      <c r="D202" s="108" t="s">
        <v>18</v>
      </c>
      <c r="E202" s="92">
        <f>E203</f>
        <v>32185.279999999999</v>
      </c>
      <c r="F202" s="92">
        <f t="shared" ref="F202:I202" si="94">F203</f>
        <v>0</v>
      </c>
      <c r="G202" s="92">
        <f t="shared" si="94"/>
        <v>0</v>
      </c>
      <c r="H202" s="92">
        <f t="shared" si="94"/>
        <v>0</v>
      </c>
      <c r="I202" s="92">
        <f t="shared" si="94"/>
        <v>0</v>
      </c>
    </row>
    <row r="203" spans="1:17" ht="25.5" x14ac:dyDescent="0.25">
      <c r="A203" s="157">
        <v>4</v>
      </c>
      <c r="B203" s="158"/>
      <c r="C203" s="159"/>
      <c r="D203" s="119" t="s">
        <v>24</v>
      </c>
      <c r="E203" s="93">
        <f>E204</f>
        <v>32185.279999999999</v>
      </c>
      <c r="F203" s="93">
        <f t="shared" ref="F203:I203" si="95">F204</f>
        <v>0</v>
      </c>
      <c r="G203" s="93">
        <f t="shared" si="95"/>
        <v>0</v>
      </c>
      <c r="H203" s="93">
        <f t="shared" si="95"/>
        <v>0</v>
      </c>
      <c r="I203" s="93">
        <f t="shared" si="95"/>
        <v>0</v>
      </c>
    </row>
    <row r="204" spans="1:17" ht="25.5" x14ac:dyDescent="0.25">
      <c r="A204" s="160">
        <v>45</v>
      </c>
      <c r="B204" s="161"/>
      <c r="C204" s="162"/>
      <c r="D204" s="123" t="s">
        <v>255</v>
      </c>
      <c r="E204" s="94">
        <f>E205</f>
        <v>32185.279999999999</v>
      </c>
      <c r="F204" s="94">
        <f t="shared" ref="F204:I204" si="96">F205</f>
        <v>0</v>
      </c>
      <c r="G204" s="94">
        <f t="shared" si="96"/>
        <v>0</v>
      </c>
      <c r="H204" s="94">
        <f t="shared" si="96"/>
        <v>0</v>
      </c>
      <c r="I204" s="94">
        <f t="shared" si="96"/>
        <v>0</v>
      </c>
    </row>
    <row r="205" spans="1:17" ht="25.5" hidden="1" x14ac:dyDescent="0.25">
      <c r="A205" s="163" t="s">
        <v>218</v>
      </c>
      <c r="B205" s="164"/>
      <c r="C205" s="165"/>
      <c r="D205" s="121" t="s">
        <v>217</v>
      </c>
      <c r="E205" s="96">
        <f>242500/K1</f>
        <v>32185.279999999999</v>
      </c>
      <c r="F205" s="79"/>
      <c r="G205" s="79"/>
      <c r="H205" s="79"/>
      <c r="I205" s="80"/>
    </row>
    <row r="206" spans="1:17" ht="15" customHeight="1" x14ac:dyDescent="0.25">
      <c r="A206" s="169" t="s">
        <v>256</v>
      </c>
      <c r="B206" s="170"/>
      <c r="C206" s="171"/>
      <c r="D206" s="118" t="s">
        <v>257</v>
      </c>
      <c r="E206" s="91">
        <f>E207</f>
        <v>3318.07</v>
      </c>
      <c r="F206" s="91">
        <f t="shared" ref="F206:I206" si="97">F207</f>
        <v>0</v>
      </c>
      <c r="G206" s="91">
        <f t="shared" si="97"/>
        <v>0</v>
      </c>
      <c r="H206" s="91">
        <f t="shared" si="97"/>
        <v>0</v>
      </c>
      <c r="I206" s="91">
        <f t="shared" si="97"/>
        <v>0</v>
      </c>
    </row>
    <row r="207" spans="1:17" ht="15" customHeight="1" x14ac:dyDescent="0.25">
      <c r="A207" s="166" t="s">
        <v>128</v>
      </c>
      <c r="B207" s="167"/>
      <c r="C207" s="168"/>
      <c r="D207" s="108" t="s">
        <v>18</v>
      </c>
      <c r="E207" s="92">
        <f>E208</f>
        <v>3318.07</v>
      </c>
      <c r="F207" s="92">
        <f t="shared" ref="F207:I207" si="98">F208</f>
        <v>0</v>
      </c>
      <c r="G207" s="92">
        <f t="shared" si="98"/>
        <v>0</v>
      </c>
      <c r="H207" s="92">
        <f t="shared" si="98"/>
        <v>0</v>
      </c>
      <c r="I207" s="92">
        <f t="shared" si="98"/>
        <v>0</v>
      </c>
    </row>
    <row r="208" spans="1:17" x14ac:dyDescent="0.25">
      <c r="A208" s="157">
        <v>3</v>
      </c>
      <c r="B208" s="158"/>
      <c r="C208" s="159"/>
      <c r="D208" s="119" t="s">
        <v>258</v>
      </c>
      <c r="E208" s="93">
        <f>E209</f>
        <v>3318.07</v>
      </c>
      <c r="F208" s="93">
        <f t="shared" ref="F208:I208" si="99">F209</f>
        <v>0</v>
      </c>
      <c r="G208" s="93">
        <f t="shared" si="99"/>
        <v>0</v>
      </c>
      <c r="H208" s="93">
        <f t="shared" si="99"/>
        <v>0</v>
      </c>
      <c r="I208" s="93">
        <f t="shared" si="99"/>
        <v>0</v>
      </c>
    </row>
    <row r="209" spans="1:17" x14ac:dyDescent="0.25">
      <c r="A209" s="160">
        <v>31</v>
      </c>
      <c r="B209" s="161"/>
      <c r="C209" s="162"/>
      <c r="D209" s="123" t="s">
        <v>36</v>
      </c>
      <c r="E209" s="94">
        <f>E210</f>
        <v>3318.07</v>
      </c>
      <c r="F209" s="94">
        <f t="shared" ref="F209:I209" si="100">F210</f>
        <v>0</v>
      </c>
      <c r="G209" s="94">
        <f t="shared" si="100"/>
        <v>0</v>
      </c>
      <c r="H209" s="94">
        <f t="shared" si="100"/>
        <v>0</v>
      </c>
      <c r="I209" s="94">
        <f t="shared" si="100"/>
        <v>0</v>
      </c>
    </row>
    <row r="210" spans="1:17" hidden="1" x14ac:dyDescent="0.25">
      <c r="A210" s="163" t="s">
        <v>205</v>
      </c>
      <c r="B210" s="164"/>
      <c r="C210" s="165"/>
      <c r="D210" s="121" t="s">
        <v>99</v>
      </c>
      <c r="E210" s="96">
        <f>25000/K1</f>
        <v>3318.07</v>
      </c>
      <c r="F210" s="79"/>
      <c r="G210" s="79"/>
      <c r="H210" s="79"/>
      <c r="I210" s="80"/>
    </row>
    <row r="211" spans="1:17" ht="24" x14ac:dyDescent="0.25">
      <c r="A211" s="175" t="s">
        <v>228</v>
      </c>
      <c r="B211" s="176"/>
      <c r="C211" s="177"/>
      <c r="D211" s="122" t="s">
        <v>97</v>
      </c>
      <c r="E211" s="98">
        <f>E212</f>
        <v>49159.95</v>
      </c>
      <c r="F211" s="98">
        <f t="shared" ref="F211:I211" si="101">F212</f>
        <v>0</v>
      </c>
      <c r="G211" s="98">
        <f t="shared" si="101"/>
        <v>0</v>
      </c>
      <c r="H211" s="98">
        <f t="shared" si="101"/>
        <v>0</v>
      </c>
      <c r="I211" s="98">
        <f t="shared" si="101"/>
        <v>0</v>
      </c>
      <c r="L211" s="66"/>
      <c r="M211" s="66"/>
      <c r="N211" s="66"/>
      <c r="O211" s="66"/>
      <c r="P211" s="66"/>
      <c r="Q211" s="66"/>
    </row>
    <row r="212" spans="1:17" ht="28.5" customHeight="1" x14ac:dyDescent="0.25">
      <c r="A212" s="169" t="s">
        <v>229</v>
      </c>
      <c r="B212" s="170"/>
      <c r="C212" s="171"/>
      <c r="D212" s="118" t="s">
        <v>230</v>
      </c>
      <c r="E212" s="91">
        <f>E213</f>
        <v>49159.95</v>
      </c>
      <c r="F212" s="91">
        <f t="shared" ref="F212:I212" si="102">F213</f>
        <v>0</v>
      </c>
      <c r="G212" s="91">
        <f t="shared" si="102"/>
        <v>0</v>
      </c>
      <c r="H212" s="91">
        <f t="shared" si="102"/>
        <v>0</v>
      </c>
      <c r="I212" s="91">
        <f t="shared" si="102"/>
        <v>0</v>
      </c>
    </row>
    <row r="213" spans="1:17" ht="15" customHeight="1" x14ac:dyDescent="0.25">
      <c r="A213" s="166" t="s">
        <v>128</v>
      </c>
      <c r="B213" s="167"/>
      <c r="C213" s="168"/>
      <c r="D213" s="108" t="s">
        <v>18</v>
      </c>
      <c r="E213" s="92">
        <f>E214</f>
        <v>49159.95</v>
      </c>
      <c r="F213" s="92">
        <f t="shared" ref="F213:I213" si="103">F214</f>
        <v>0</v>
      </c>
      <c r="G213" s="92">
        <f t="shared" si="103"/>
        <v>0</v>
      </c>
      <c r="H213" s="92">
        <f t="shared" si="103"/>
        <v>0</v>
      </c>
      <c r="I213" s="92">
        <f t="shared" si="103"/>
        <v>0</v>
      </c>
    </row>
    <row r="214" spans="1:17" x14ac:dyDescent="0.25">
      <c r="A214" s="157">
        <v>3</v>
      </c>
      <c r="B214" s="158"/>
      <c r="C214" s="159"/>
      <c r="D214" s="119" t="s">
        <v>22</v>
      </c>
      <c r="E214" s="93">
        <f>E215</f>
        <v>49159.95</v>
      </c>
      <c r="F214" s="93">
        <f t="shared" ref="F214:I214" si="104">F215</f>
        <v>0</v>
      </c>
      <c r="G214" s="93">
        <f t="shared" si="104"/>
        <v>0</v>
      </c>
      <c r="H214" s="93">
        <f t="shared" si="104"/>
        <v>0</v>
      </c>
      <c r="I214" s="93">
        <f t="shared" si="104"/>
        <v>0</v>
      </c>
    </row>
    <row r="215" spans="1:17" ht="25.5" x14ac:dyDescent="0.25">
      <c r="A215" s="160">
        <v>32</v>
      </c>
      <c r="B215" s="161"/>
      <c r="C215" s="162"/>
      <c r="D215" s="123" t="s">
        <v>215</v>
      </c>
      <c r="E215" s="94">
        <f>E216</f>
        <v>49159.95</v>
      </c>
      <c r="F215" s="94">
        <f t="shared" ref="F215:I215" si="105">F216</f>
        <v>0</v>
      </c>
      <c r="G215" s="94">
        <f t="shared" si="105"/>
        <v>0</v>
      </c>
      <c r="H215" s="94">
        <f t="shared" si="105"/>
        <v>0</v>
      </c>
      <c r="I215" s="94">
        <f t="shared" si="105"/>
        <v>0</v>
      </c>
    </row>
    <row r="216" spans="1:17" ht="25.5" hidden="1" x14ac:dyDescent="0.25">
      <c r="A216" s="163" t="s">
        <v>191</v>
      </c>
      <c r="B216" s="164"/>
      <c r="C216" s="165"/>
      <c r="D216" s="121" t="s">
        <v>214</v>
      </c>
      <c r="E216" s="96">
        <f>370395.66/K1</f>
        <v>49159.95</v>
      </c>
      <c r="F216" s="105">
        <v>0</v>
      </c>
      <c r="G216" s="79">
        <v>0</v>
      </c>
      <c r="H216" s="79"/>
      <c r="I216" s="80"/>
    </row>
    <row r="217" spans="1:17" ht="15" customHeight="1" x14ac:dyDescent="0.25">
      <c r="A217" s="166" t="s">
        <v>122</v>
      </c>
      <c r="B217" s="167"/>
      <c r="C217" s="168"/>
      <c r="D217" s="108" t="s">
        <v>123</v>
      </c>
      <c r="E217" s="92">
        <f>E218</f>
        <v>0</v>
      </c>
      <c r="F217" s="108">
        <f t="shared" ref="F217:I217" si="106">F218</f>
        <v>0</v>
      </c>
      <c r="G217" s="92">
        <f t="shared" si="106"/>
        <v>0</v>
      </c>
      <c r="H217" s="92">
        <f t="shared" si="106"/>
        <v>0</v>
      </c>
      <c r="I217" s="92">
        <f t="shared" si="106"/>
        <v>0</v>
      </c>
    </row>
    <row r="218" spans="1:17" x14ac:dyDescent="0.25">
      <c r="A218" s="157">
        <v>3</v>
      </c>
      <c r="B218" s="158"/>
      <c r="C218" s="159"/>
      <c r="D218" s="119" t="s">
        <v>22</v>
      </c>
      <c r="E218" s="93">
        <f>E219</f>
        <v>0</v>
      </c>
      <c r="F218" s="109">
        <f t="shared" ref="F218:I218" si="107">F219</f>
        <v>0</v>
      </c>
      <c r="G218" s="93">
        <f t="shared" si="107"/>
        <v>0</v>
      </c>
      <c r="H218" s="93">
        <f t="shared" si="107"/>
        <v>0</v>
      </c>
      <c r="I218" s="93">
        <f t="shared" si="107"/>
        <v>0</v>
      </c>
    </row>
    <row r="219" spans="1:17" ht="25.5" x14ac:dyDescent="0.25">
      <c r="A219" s="160">
        <v>32</v>
      </c>
      <c r="B219" s="161"/>
      <c r="C219" s="162"/>
      <c r="D219" s="123" t="s">
        <v>215</v>
      </c>
      <c r="E219" s="94">
        <f>E220</f>
        <v>0</v>
      </c>
      <c r="F219" s="106">
        <f t="shared" ref="F219:I219" si="108">F220</f>
        <v>0</v>
      </c>
      <c r="G219" s="94">
        <f t="shared" si="108"/>
        <v>0</v>
      </c>
      <c r="H219" s="94">
        <f t="shared" si="108"/>
        <v>0</v>
      </c>
      <c r="I219" s="94">
        <f t="shared" si="108"/>
        <v>0</v>
      </c>
    </row>
    <row r="220" spans="1:17" ht="25.5" hidden="1" x14ac:dyDescent="0.25">
      <c r="A220" s="163" t="s">
        <v>191</v>
      </c>
      <c r="B220" s="164"/>
      <c r="C220" s="165"/>
      <c r="D220" s="121" t="s">
        <v>214</v>
      </c>
      <c r="E220" s="96">
        <v>0</v>
      </c>
      <c r="F220" s="105">
        <v>0</v>
      </c>
      <c r="G220" s="79">
        <v>0</v>
      </c>
      <c r="H220" s="79"/>
      <c r="I220" s="80"/>
    </row>
    <row r="221" spans="1:17" ht="53.25" customHeight="1" x14ac:dyDescent="0.25">
      <c r="A221" s="186" t="s">
        <v>124</v>
      </c>
      <c r="B221" s="187"/>
      <c r="C221" s="188"/>
      <c r="D221" s="125" t="s">
        <v>98</v>
      </c>
      <c r="E221" s="112">
        <f>E222+E318+E333+E365+E378</f>
        <v>1184707.07</v>
      </c>
      <c r="F221" s="112">
        <f>F222+F318+F333+F365+F378</f>
        <v>1241860.72</v>
      </c>
      <c r="G221" s="112">
        <f>G222+G318+G333+G365+G378</f>
        <v>1541535.5</v>
      </c>
      <c r="H221" s="112">
        <f>H222+H318+H333+H365+H378</f>
        <v>1541535.5</v>
      </c>
      <c r="I221" s="112">
        <f>I222+I318+I333+I365+I378</f>
        <v>1541535.5</v>
      </c>
    </row>
    <row r="222" spans="1:17" ht="14.25" customHeight="1" x14ac:dyDescent="0.25">
      <c r="A222" s="169" t="s">
        <v>60</v>
      </c>
      <c r="B222" s="170"/>
      <c r="C222" s="171"/>
      <c r="D222" s="118" t="s">
        <v>22</v>
      </c>
      <c r="E222" s="91">
        <f>E223+E275+E285+E314</f>
        <v>28814.3</v>
      </c>
      <c r="F222" s="91">
        <f>F223+F275+F285+F314+F248</f>
        <v>36300.31</v>
      </c>
      <c r="G222" s="91">
        <f>G223+G275+G285+G314</f>
        <v>36130</v>
      </c>
      <c r="H222" s="91">
        <f>H223+H275+H285+H314</f>
        <v>36130</v>
      </c>
      <c r="I222" s="91">
        <f>I223+I275+I285+I314</f>
        <v>36130</v>
      </c>
    </row>
    <row r="223" spans="1:17" ht="15" customHeight="1" x14ac:dyDescent="0.25">
      <c r="A223" s="166" t="s">
        <v>137</v>
      </c>
      <c r="B223" s="167"/>
      <c r="C223" s="168"/>
      <c r="D223" s="108" t="s">
        <v>40</v>
      </c>
      <c r="E223" s="92">
        <f>E224+E242</f>
        <v>6221.26</v>
      </c>
      <c r="F223" s="92">
        <f t="shared" ref="F223:I223" si="109">F224+F242</f>
        <v>477.8</v>
      </c>
      <c r="G223" s="92">
        <f t="shared" si="109"/>
        <v>5360</v>
      </c>
      <c r="H223" s="92">
        <f t="shared" si="109"/>
        <v>5360</v>
      </c>
      <c r="I223" s="92">
        <f t="shared" si="109"/>
        <v>5360</v>
      </c>
    </row>
    <row r="224" spans="1:17" x14ac:dyDescent="0.25">
      <c r="A224" s="157">
        <v>3</v>
      </c>
      <c r="B224" s="158"/>
      <c r="C224" s="159"/>
      <c r="D224" s="119" t="s">
        <v>22</v>
      </c>
      <c r="E224" s="93">
        <f>E225+E239</f>
        <v>1777.63</v>
      </c>
      <c r="F224" s="93">
        <f t="shared" ref="F224:I224" si="110">F225+F239</f>
        <v>477.8</v>
      </c>
      <c r="G224" s="93">
        <f t="shared" si="110"/>
        <v>2460</v>
      </c>
      <c r="H224" s="93">
        <f t="shared" si="110"/>
        <v>2460</v>
      </c>
      <c r="I224" s="93">
        <f t="shared" si="110"/>
        <v>2460</v>
      </c>
    </row>
    <row r="225" spans="1:9" x14ac:dyDescent="0.25">
      <c r="A225" s="160">
        <v>32</v>
      </c>
      <c r="B225" s="161"/>
      <c r="C225" s="162"/>
      <c r="D225" s="123" t="s">
        <v>36</v>
      </c>
      <c r="E225" s="94">
        <f>SUM(E226:E238)</f>
        <v>1727.58</v>
      </c>
      <c r="F225" s="94">
        <f t="shared" ref="F225:I225" si="111">SUM(F226:F238)</f>
        <v>477.8</v>
      </c>
      <c r="G225" s="94">
        <f t="shared" si="111"/>
        <v>2390</v>
      </c>
      <c r="H225" s="94">
        <f t="shared" si="111"/>
        <v>2390</v>
      </c>
      <c r="I225" s="94">
        <f t="shared" si="111"/>
        <v>2390</v>
      </c>
    </row>
    <row r="226" spans="1:9" hidden="1" x14ac:dyDescent="0.25">
      <c r="A226" s="163">
        <v>3211</v>
      </c>
      <c r="B226" s="164"/>
      <c r="C226" s="165"/>
      <c r="D226" s="121" t="s">
        <v>62</v>
      </c>
      <c r="E226" s="96">
        <f>1209.15/K1</f>
        <v>160.47999999999999</v>
      </c>
      <c r="F226" s="105"/>
      <c r="G226" s="105">
        <v>100</v>
      </c>
      <c r="H226" s="105">
        <v>100</v>
      </c>
      <c r="I226" s="105">
        <v>100</v>
      </c>
    </row>
    <row r="227" spans="1:9" hidden="1" x14ac:dyDescent="0.25">
      <c r="A227" s="163">
        <v>3213</v>
      </c>
      <c r="B227" s="164">
        <v>3213</v>
      </c>
      <c r="C227" s="165">
        <v>3213</v>
      </c>
      <c r="D227" s="121" t="s">
        <v>63</v>
      </c>
      <c r="E227" s="96">
        <v>0</v>
      </c>
      <c r="F227" s="105"/>
      <c r="G227" s="105">
        <v>50</v>
      </c>
      <c r="H227" s="105">
        <v>50</v>
      </c>
      <c r="I227" s="105">
        <v>50</v>
      </c>
    </row>
    <row r="228" spans="1:9" hidden="1" x14ac:dyDescent="0.25">
      <c r="A228" s="163" t="s">
        <v>208</v>
      </c>
      <c r="B228" s="164">
        <v>3213</v>
      </c>
      <c r="C228" s="165">
        <v>3213</v>
      </c>
      <c r="D228" s="121" t="s">
        <v>209</v>
      </c>
      <c r="E228" s="96">
        <v>0</v>
      </c>
      <c r="F228" s="105"/>
      <c r="G228" s="105">
        <v>50</v>
      </c>
      <c r="H228" s="105">
        <v>50</v>
      </c>
      <c r="I228" s="105">
        <v>50</v>
      </c>
    </row>
    <row r="229" spans="1:9" hidden="1" x14ac:dyDescent="0.25">
      <c r="A229" s="163">
        <v>3221</v>
      </c>
      <c r="B229" s="164">
        <v>3221</v>
      </c>
      <c r="C229" s="165">
        <v>3221</v>
      </c>
      <c r="D229" s="121" t="s">
        <v>64</v>
      </c>
      <c r="E229" s="96">
        <f>107.84/K1</f>
        <v>14.31</v>
      </c>
      <c r="F229" s="105"/>
      <c r="G229" s="105">
        <v>100</v>
      </c>
      <c r="H229" s="105">
        <v>100</v>
      </c>
      <c r="I229" s="105">
        <v>100</v>
      </c>
    </row>
    <row r="230" spans="1:9" hidden="1" x14ac:dyDescent="0.25">
      <c r="A230" s="163">
        <v>3223</v>
      </c>
      <c r="B230" s="164">
        <v>3223</v>
      </c>
      <c r="C230" s="165">
        <v>3223</v>
      </c>
      <c r="D230" s="121" t="s">
        <v>65</v>
      </c>
      <c r="E230" s="96">
        <v>0</v>
      </c>
      <c r="F230" s="105">
        <v>79.63</v>
      </c>
      <c r="G230" s="105">
        <v>50</v>
      </c>
      <c r="H230" s="105">
        <v>50</v>
      </c>
      <c r="I230" s="105">
        <v>50</v>
      </c>
    </row>
    <row r="231" spans="1:9" hidden="1" x14ac:dyDescent="0.25">
      <c r="A231" s="163" t="s">
        <v>190</v>
      </c>
      <c r="B231" s="164">
        <v>3223</v>
      </c>
      <c r="C231" s="165">
        <v>3223</v>
      </c>
      <c r="D231" s="124" t="s">
        <v>82</v>
      </c>
      <c r="E231" s="96">
        <f>430.86/K1</f>
        <v>57.18</v>
      </c>
      <c r="F231" s="105"/>
      <c r="G231" s="105">
        <v>200</v>
      </c>
      <c r="H231" s="105">
        <v>200</v>
      </c>
      <c r="I231" s="105">
        <v>200</v>
      </c>
    </row>
    <row r="232" spans="1:9" hidden="1" x14ac:dyDescent="0.25">
      <c r="A232" s="126">
        <v>3231</v>
      </c>
      <c r="B232" s="127"/>
      <c r="C232" s="128"/>
      <c r="D232" s="121" t="s">
        <v>68</v>
      </c>
      <c r="E232" s="96">
        <f>915.24/K1</f>
        <v>121.47</v>
      </c>
      <c r="F232" s="105"/>
      <c r="G232" s="105">
        <v>20</v>
      </c>
      <c r="H232" s="105">
        <v>20</v>
      </c>
      <c r="I232" s="105">
        <v>20</v>
      </c>
    </row>
    <row r="233" spans="1:9" ht="26.25" hidden="1" x14ac:dyDescent="0.25">
      <c r="A233" s="163" t="s">
        <v>191</v>
      </c>
      <c r="B233" s="164">
        <v>3233</v>
      </c>
      <c r="C233" s="165">
        <v>3233</v>
      </c>
      <c r="D233" s="124" t="s">
        <v>100</v>
      </c>
      <c r="E233" s="96">
        <f>43.34/K1</f>
        <v>5.75</v>
      </c>
      <c r="F233" s="105"/>
      <c r="G233" s="105">
        <v>500</v>
      </c>
      <c r="H233" s="105">
        <v>500</v>
      </c>
      <c r="I233" s="105">
        <v>500</v>
      </c>
    </row>
    <row r="234" spans="1:9" hidden="1" x14ac:dyDescent="0.25">
      <c r="A234" s="163">
        <v>3235</v>
      </c>
      <c r="B234" s="164">
        <v>3235</v>
      </c>
      <c r="C234" s="165">
        <v>3235</v>
      </c>
      <c r="D234" s="121" t="s">
        <v>71</v>
      </c>
      <c r="E234" s="96">
        <f>300/K1</f>
        <v>39.82</v>
      </c>
      <c r="F234" s="105"/>
      <c r="G234" s="105">
        <v>20</v>
      </c>
      <c r="H234" s="105">
        <v>20</v>
      </c>
      <c r="I234" s="105">
        <v>20</v>
      </c>
    </row>
    <row r="235" spans="1:9" hidden="1" x14ac:dyDescent="0.25">
      <c r="A235" s="163">
        <v>3239</v>
      </c>
      <c r="B235" s="164">
        <v>3239</v>
      </c>
      <c r="C235" s="165">
        <v>3239</v>
      </c>
      <c r="D235" s="121" t="s">
        <v>75</v>
      </c>
      <c r="E235" s="96">
        <f>295.8/K1</f>
        <v>39.26</v>
      </c>
      <c r="F235" s="105">
        <v>265.45</v>
      </c>
      <c r="G235" s="105">
        <v>500</v>
      </c>
      <c r="H235" s="105">
        <v>500</v>
      </c>
      <c r="I235" s="105">
        <v>500</v>
      </c>
    </row>
    <row r="236" spans="1:9" hidden="1" x14ac:dyDescent="0.25">
      <c r="A236" s="163">
        <v>3299</v>
      </c>
      <c r="B236" s="164">
        <v>3299</v>
      </c>
      <c r="C236" s="165">
        <v>3299</v>
      </c>
      <c r="D236" s="121" t="s">
        <v>79</v>
      </c>
      <c r="E236" s="96">
        <v>0</v>
      </c>
      <c r="F236" s="105">
        <v>132.72</v>
      </c>
      <c r="G236" s="105">
        <v>500</v>
      </c>
      <c r="H236" s="105">
        <v>500</v>
      </c>
      <c r="I236" s="105">
        <v>500</v>
      </c>
    </row>
    <row r="237" spans="1:9" hidden="1" x14ac:dyDescent="0.25">
      <c r="A237" s="163">
        <v>3293</v>
      </c>
      <c r="B237" s="164">
        <v>3293</v>
      </c>
      <c r="C237" s="165">
        <v>3293</v>
      </c>
      <c r="D237" s="121" t="s">
        <v>76</v>
      </c>
      <c r="E237" s="96">
        <f>2245.43/K1</f>
        <v>298.02</v>
      </c>
      <c r="F237" s="105"/>
      <c r="G237" s="105">
        <v>300</v>
      </c>
      <c r="H237" s="105">
        <v>300</v>
      </c>
      <c r="I237" s="105">
        <v>300</v>
      </c>
    </row>
    <row r="238" spans="1:9" hidden="1" x14ac:dyDescent="0.25">
      <c r="A238" s="163">
        <v>3299</v>
      </c>
      <c r="B238" s="164">
        <v>3299</v>
      </c>
      <c r="C238" s="165">
        <v>3299</v>
      </c>
      <c r="D238" s="121" t="s">
        <v>79</v>
      </c>
      <c r="E238" s="96">
        <f>7468.88/K1</f>
        <v>991.29</v>
      </c>
      <c r="F238" s="105"/>
      <c r="G238" s="105"/>
      <c r="H238" s="79"/>
      <c r="I238" s="80"/>
    </row>
    <row r="239" spans="1:9" x14ac:dyDescent="0.25">
      <c r="A239" s="160">
        <v>34</v>
      </c>
      <c r="B239" s="161"/>
      <c r="C239" s="162"/>
      <c r="D239" s="123" t="s">
        <v>102</v>
      </c>
      <c r="E239" s="94">
        <f>SUM(E240:E241)</f>
        <v>50.05</v>
      </c>
      <c r="F239" s="94">
        <f t="shared" ref="F239:I239" si="112">SUM(F240:F241)</f>
        <v>0</v>
      </c>
      <c r="G239" s="106">
        <f t="shared" si="112"/>
        <v>70</v>
      </c>
      <c r="H239" s="94">
        <f t="shared" si="112"/>
        <v>70</v>
      </c>
      <c r="I239" s="94">
        <f t="shared" si="112"/>
        <v>70</v>
      </c>
    </row>
    <row r="240" spans="1:9" ht="26.25" hidden="1" x14ac:dyDescent="0.25">
      <c r="A240" s="163" t="s">
        <v>181</v>
      </c>
      <c r="B240" s="164">
        <v>3293</v>
      </c>
      <c r="C240" s="165">
        <v>3293</v>
      </c>
      <c r="D240" s="124" t="s">
        <v>103</v>
      </c>
      <c r="E240" s="96">
        <f>172.82/K1</f>
        <v>22.94</v>
      </c>
      <c r="F240" s="105"/>
      <c r="G240" s="105">
        <v>50</v>
      </c>
      <c r="H240" s="105">
        <v>50</v>
      </c>
      <c r="I240" s="105">
        <v>50</v>
      </c>
    </row>
    <row r="241" spans="1:9" hidden="1" x14ac:dyDescent="0.25">
      <c r="A241" s="163" t="s">
        <v>192</v>
      </c>
      <c r="B241" s="164">
        <v>3299</v>
      </c>
      <c r="C241" s="165">
        <v>3299</v>
      </c>
      <c r="D241" s="124" t="s">
        <v>104</v>
      </c>
      <c r="E241" s="96">
        <f>204.28/K1</f>
        <v>27.11</v>
      </c>
      <c r="F241" s="105"/>
      <c r="G241" s="105">
        <v>20</v>
      </c>
      <c r="H241" s="105">
        <v>20</v>
      </c>
      <c r="I241" s="105">
        <v>20</v>
      </c>
    </row>
    <row r="242" spans="1:9" ht="25.5" x14ac:dyDescent="0.25">
      <c r="A242" s="157">
        <v>4</v>
      </c>
      <c r="B242" s="158"/>
      <c r="C242" s="159"/>
      <c r="D242" s="119" t="s">
        <v>24</v>
      </c>
      <c r="E242" s="93">
        <f>E243</f>
        <v>4443.63</v>
      </c>
      <c r="F242" s="93">
        <f t="shared" ref="F242:I242" si="113">F243</f>
        <v>0</v>
      </c>
      <c r="G242" s="93">
        <f t="shared" si="113"/>
        <v>2900</v>
      </c>
      <c r="H242" s="93">
        <f t="shared" si="113"/>
        <v>2900</v>
      </c>
      <c r="I242" s="93">
        <f t="shared" si="113"/>
        <v>2900</v>
      </c>
    </row>
    <row r="243" spans="1:9" ht="25.5" x14ac:dyDescent="0.25">
      <c r="A243" s="160">
        <v>42</v>
      </c>
      <c r="B243" s="161"/>
      <c r="C243" s="162"/>
      <c r="D243" s="123" t="s">
        <v>108</v>
      </c>
      <c r="E243" s="94">
        <f>SUM(E244:E247)</f>
        <v>4443.63</v>
      </c>
      <c r="F243" s="94">
        <f t="shared" ref="F243:I243" si="114">SUM(F244:F247)</f>
        <v>0</v>
      </c>
      <c r="G243" s="94">
        <f t="shared" si="114"/>
        <v>2900</v>
      </c>
      <c r="H243" s="94">
        <f t="shared" si="114"/>
        <v>2900</v>
      </c>
      <c r="I243" s="94">
        <f t="shared" si="114"/>
        <v>2900</v>
      </c>
    </row>
    <row r="244" spans="1:9" hidden="1" x14ac:dyDescent="0.25">
      <c r="A244" s="163" t="s">
        <v>193</v>
      </c>
      <c r="B244" s="164"/>
      <c r="C244" s="165"/>
      <c r="D244" s="124" t="s">
        <v>109</v>
      </c>
      <c r="E244" s="96">
        <f>18916.5/K1</f>
        <v>2510.65</v>
      </c>
      <c r="F244" s="105">
        <v>0</v>
      </c>
      <c r="G244" s="105">
        <v>2000</v>
      </c>
      <c r="H244" s="105">
        <v>2000</v>
      </c>
      <c r="I244" s="105">
        <v>2000</v>
      </c>
    </row>
    <row r="245" spans="1:9" hidden="1" x14ac:dyDescent="0.25">
      <c r="A245" s="163" t="s">
        <v>194</v>
      </c>
      <c r="B245" s="164"/>
      <c r="C245" s="165"/>
      <c r="D245" s="124" t="s">
        <v>110</v>
      </c>
      <c r="E245" s="96">
        <v>0</v>
      </c>
      <c r="F245" s="105"/>
      <c r="G245" s="105">
        <v>300</v>
      </c>
      <c r="H245" s="105">
        <v>300</v>
      </c>
      <c r="I245" s="105">
        <v>300</v>
      </c>
    </row>
    <row r="246" spans="1:9" ht="20.25" hidden="1" customHeight="1" x14ac:dyDescent="0.25">
      <c r="A246" s="163" t="s">
        <v>195</v>
      </c>
      <c r="B246" s="164"/>
      <c r="C246" s="165"/>
      <c r="D246" s="124" t="s">
        <v>111</v>
      </c>
      <c r="E246" s="96">
        <f>14054.19/K1</f>
        <v>1865.31</v>
      </c>
      <c r="F246" s="105"/>
      <c r="G246" s="105">
        <v>500</v>
      </c>
      <c r="H246" s="105">
        <v>500</v>
      </c>
      <c r="I246" s="105">
        <v>500</v>
      </c>
    </row>
    <row r="247" spans="1:9" hidden="1" x14ac:dyDescent="0.25">
      <c r="A247" s="163" t="s">
        <v>196</v>
      </c>
      <c r="B247" s="164"/>
      <c r="C247" s="165"/>
      <c r="D247" s="124" t="s">
        <v>112</v>
      </c>
      <c r="E247" s="96">
        <f>509.86/K1</f>
        <v>67.67</v>
      </c>
      <c r="F247" s="105">
        <v>0</v>
      </c>
      <c r="G247" s="105">
        <v>100</v>
      </c>
      <c r="H247" s="105">
        <v>100</v>
      </c>
      <c r="I247" s="105">
        <v>100</v>
      </c>
    </row>
    <row r="248" spans="1:9" ht="15" customHeight="1" x14ac:dyDescent="0.25">
      <c r="A248" s="166" t="s">
        <v>144</v>
      </c>
      <c r="B248" s="167"/>
      <c r="C248" s="168"/>
      <c r="D248" s="108" t="s">
        <v>145</v>
      </c>
      <c r="E248" s="92">
        <f>E249+E269</f>
        <v>0</v>
      </c>
      <c r="F248" s="92">
        <f>F249+F269</f>
        <v>5339.31</v>
      </c>
      <c r="G248" s="92">
        <f>G249+G269</f>
        <v>0</v>
      </c>
      <c r="H248" s="92">
        <f>H249+H269</f>
        <v>0</v>
      </c>
      <c r="I248" s="92">
        <f>I249+I269</f>
        <v>0</v>
      </c>
    </row>
    <row r="249" spans="1:9" x14ac:dyDescent="0.25">
      <c r="A249" s="157">
        <v>3</v>
      </c>
      <c r="B249" s="158"/>
      <c r="C249" s="159"/>
      <c r="D249" s="119" t="s">
        <v>22</v>
      </c>
      <c r="E249" s="93">
        <f>E250+E266</f>
        <v>0</v>
      </c>
      <c r="F249" s="93">
        <f>F250+F266</f>
        <v>3543.7</v>
      </c>
      <c r="G249" s="93">
        <f>G250+G266</f>
        <v>0</v>
      </c>
      <c r="H249" s="93">
        <f>H250+H266</f>
        <v>0</v>
      </c>
      <c r="I249" s="93">
        <f>I250+I266</f>
        <v>0</v>
      </c>
    </row>
    <row r="250" spans="1:9" x14ac:dyDescent="0.25">
      <c r="A250" s="160">
        <v>32</v>
      </c>
      <c r="B250" s="161"/>
      <c r="C250" s="162"/>
      <c r="D250" s="123" t="s">
        <v>36</v>
      </c>
      <c r="E250" s="94">
        <f>SUM(E251:E265)</f>
        <v>0</v>
      </c>
      <c r="F250" s="94">
        <f>SUM(F251:F265)</f>
        <v>3384.43</v>
      </c>
      <c r="G250" s="94">
        <f>SUM(G251:G265)</f>
        <v>0</v>
      </c>
      <c r="H250" s="94">
        <f>SUM(H251:H265)</f>
        <v>0</v>
      </c>
      <c r="I250" s="94">
        <f>SUM(I251:I265)</f>
        <v>0</v>
      </c>
    </row>
    <row r="251" spans="1:9" hidden="1" x14ac:dyDescent="0.25">
      <c r="A251" s="163">
        <v>3211</v>
      </c>
      <c r="B251" s="164"/>
      <c r="C251" s="165"/>
      <c r="D251" s="121" t="s">
        <v>62</v>
      </c>
      <c r="E251" s="96">
        <v>0</v>
      </c>
      <c r="F251" s="105">
        <v>265.45999999999998</v>
      </c>
      <c r="G251" s="79"/>
      <c r="H251" s="79"/>
      <c r="I251" s="80"/>
    </row>
    <row r="252" spans="1:9" hidden="1" x14ac:dyDescent="0.25">
      <c r="A252" s="163">
        <v>3213</v>
      </c>
      <c r="B252" s="164">
        <v>3213</v>
      </c>
      <c r="C252" s="165">
        <v>3213</v>
      </c>
      <c r="D252" s="121" t="s">
        <v>63</v>
      </c>
      <c r="E252" s="96">
        <v>0</v>
      </c>
      <c r="F252" s="105">
        <v>265.45</v>
      </c>
      <c r="G252" s="79"/>
      <c r="H252" s="79"/>
      <c r="I252" s="80"/>
    </row>
    <row r="253" spans="1:9" hidden="1" x14ac:dyDescent="0.25">
      <c r="A253" s="163">
        <v>3221</v>
      </c>
      <c r="B253" s="164">
        <v>3221</v>
      </c>
      <c r="C253" s="165">
        <v>3221</v>
      </c>
      <c r="D253" s="121" t="s">
        <v>64</v>
      </c>
      <c r="E253" s="96">
        <v>0</v>
      </c>
      <c r="F253" s="105">
        <v>132.72</v>
      </c>
      <c r="G253" s="79"/>
      <c r="H253" s="79"/>
      <c r="I253" s="80"/>
    </row>
    <row r="254" spans="1:9" hidden="1" x14ac:dyDescent="0.25">
      <c r="A254" s="163">
        <v>3223</v>
      </c>
      <c r="B254" s="164">
        <v>3223</v>
      </c>
      <c r="C254" s="165">
        <v>3223</v>
      </c>
      <c r="D254" s="121" t="s">
        <v>65</v>
      </c>
      <c r="E254" s="96">
        <v>0</v>
      </c>
      <c r="F254" s="105">
        <v>13.27</v>
      </c>
      <c r="G254" s="79"/>
      <c r="H254" s="79"/>
      <c r="I254" s="80"/>
    </row>
    <row r="255" spans="1:9" hidden="1" x14ac:dyDescent="0.25">
      <c r="A255" s="163" t="s">
        <v>190</v>
      </c>
      <c r="B255" s="164">
        <v>3223</v>
      </c>
      <c r="C255" s="165">
        <v>3223</v>
      </c>
      <c r="D255" s="124" t="s">
        <v>82</v>
      </c>
      <c r="E255" s="96">
        <v>0</v>
      </c>
      <c r="F255" s="105">
        <v>265.45</v>
      </c>
      <c r="G255" s="79"/>
      <c r="H255" s="79"/>
      <c r="I255" s="80"/>
    </row>
    <row r="256" spans="1:9" hidden="1" x14ac:dyDescent="0.25">
      <c r="A256" s="163" t="s">
        <v>205</v>
      </c>
      <c r="B256" s="164">
        <v>3223</v>
      </c>
      <c r="C256" s="165">
        <v>3223</v>
      </c>
      <c r="D256" s="124" t="s">
        <v>99</v>
      </c>
      <c r="E256" s="96">
        <v>0</v>
      </c>
      <c r="F256" s="105">
        <v>26.54</v>
      </c>
      <c r="G256" s="79"/>
      <c r="H256" s="79"/>
      <c r="I256" s="80"/>
    </row>
    <row r="257" spans="1:9" ht="26.25" hidden="1" x14ac:dyDescent="0.25">
      <c r="A257" s="163" t="s">
        <v>210</v>
      </c>
      <c r="B257" s="164">
        <v>3223</v>
      </c>
      <c r="C257" s="165">
        <v>3223</v>
      </c>
      <c r="D257" s="124" t="s">
        <v>265</v>
      </c>
      <c r="E257" s="96">
        <v>0</v>
      </c>
      <c r="F257" s="105">
        <v>0</v>
      </c>
      <c r="G257" s="79"/>
      <c r="H257" s="79"/>
      <c r="I257" s="80"/>
    </row>
    <row r="258" spans="1:9" hidden="1" x14ac:dyDescent="0.25">
      <c r="A258" s="126">
        <v>3231</v>
      </c>
      <c r="B258" s="127"/>
      <c r="C258" s="128"/>
      <c r="D258" s="121" t="s">
        <v>68</v>
      </c>
      <c r="E258" s="96">
        <v>0</v>
      </c>
      <c r="F258" s="105">
        <v>66.36</v>
      </c>
      <c r="G258" s="79"/>
      <c r="H258" s="79"/>
      <c r="I258" s="80"/>
    </row>
    <row r="259" spans="1:9" ht="26.25" hidden="1" x14ac:dyDescent="0.25">
      <c r="A259" s="163" t="s">
        <v>191</v>
      </c>
      <c r="B259" s="164">
        <v>3233</v>
      </c>
      <c r="C259" s="165">
        <v>3233</v>
      </c>
      <c r="D259" s="124" t="s">
        <v>100</v>
      </c>
      <c r="E259" s="96">
        <v>0</v>
      </c>
      <c r="F259" s="105">
        <v>1327.23</v>
      </c>
      <c r="G259" s="79"/>
      <c r="H259" s="79"/>
      <c r="I259" s="80"/>
    </row>
    <row r="260" spans="1:9" hidden="1" x14ac:dyDescent="0.25">
      <c r="A260" s="163" t="s">
        <v>212</v>
      </c>
      <c r="B260" s="164">
        <v>3233</v>
      </c>
      <c r="C260" s="165">
        <v>3233</v>
      </c>
      <c r="D260" s="124" t="s">
        <v>69</v>
      </c>
      <c r="E260" s="96">
        <v>0</v>
      </c>
      <c r="F260" s="105">
        <v>13.27</v>
      </c>
      <c r="G260" s="79"/>
      <c r="H260" s="79"/>
      <c r="I260" s="80"/>
    </row>
    <row r="261" spans="1:9" hidden="1" x14ac:dyDescent="0.25">
      <c r="A261" s="163">
        <v>3235</v>
      </c>
      <c r="B261" s="164">
        <v>3235</v>
      </c>
      <c r="C261" s="165">
        <v>3235</v>
      </c>
      <c r="D261" s="121" t="s">
        <v>71</v>
      </c>
      <c r="E261" s="96">
        <v>0</v>
      </c>
      <c r="F261" s="105">
        <v>66.36</v>
      </c>
      <c r="G261" s="79"/>
      <c r="H261" s="79"/>
      <c r="I261" s="80"/>
    </row>
    <row r="262" spans="1:9" hidden="1" x14ac:dyDescent="0.25">
      <c r="A262" s="163" t="s">
        <v>211</v>
      </c>
      <c r="B262" s="164">
        <v>3235</v>
      </c>
      <c r="C262" s="165">
        <v>3235</v>
      </c>
      <c r="D262" s="121" t="s">
        <v>73</v>
      </c>
      <c r="E262" s="96">
        <v>0</v>
      </c>
      <c r="F262" s="105">
        <v>66.36</v>
      </c>
      <c r="G262" s="79"/>
      <c r="H262" s="79"/>
      <c r="I262" s="80"/>
    </row>
    <row r="263" spans="1:9" hidden="1" x14ac:dyDescent="0.25">
      <c r="A263" s="163">
        <v>3239</v>
      </c>
      <c r="B263" s="164">
        <v>3239</v>
      </c>
      <c r="C263" s="165">
        <v>3239</v>
      </c>
      <c r="D263" s="121" t="s">
        <v>75</v>
      </c>
      <c r="E263" s="96">
        <v>0</v>
      </c>
      <c r="F263" s="105">
        <v>199.08</v>
      </c>
      <c r="G263" s="79"/>
      <c r="H263" s="79"/>
      <c r="I263" s="80"/>
    </row>
    <row r="264" spans="1:9" hidden="1" x14ac:dyDescent="0.25">
      <c r="A264" s="163">
        <v>3293</v>
      </c>
      <c r="B264" s="164">
        <v>3293</v>
      </c>
      <c r="C264" s="165">
        <v>3293</v>
      </c>
      <c r="D264" s="121" t="s">
        <v>76</v>
      </c>
      <c r="E264" s="96">
        <v>0</v>
      </c>
      <c r="F264" s="105">
        <v>305.26</v>
      </c>
      <c r="G264" s="79"/>
      <c r="H264" s="79"/>
      <c r="I264" s="80"/>
    </row>
    <row r="265" spans="1:9" hidden="1" x14ac:dyDescent="0.25">
      <c r="A265" s="163">
        <v>3299</v>
      </c>
      <c r="B265" s="164">
        <v>3299</v>
      </c>
      <c r="C265" s="165">
        <v>3299</v>
      </c>
      <c r="D265" s="121" t="s">
        <v>79</v>
      </c>
      <c r="E265" s="96">
        <v>0</v>
      </c>
      <c r="F265" s="105">
        <v>371.62</v>
      </c>
      <c r="G265" s="79"/>
      <c r="H265" s="79"/>
      <c r="I265" s="80"/>
    </row>
    <row r="266" spans="1:9" x14ac:dyDescent="0.25">
      <c r="A266" s="160">
        <v>34</v>
      </c>
      <c r="B266" s="161"/>
      <c r="C266" s="162"/>
      <c r="D266" s="123" t="s">
        <v>102</v>
      </c>
      <c r="E266" s="94">
        <f>SUM(E267:E268)</f>
        <v>0</v>
      </c>
      <c r="F266" s="94">
        <f t="shared" ref="F266:I266" si="115">SUM(F267:F268)</f>
        <v>159.27000000000001</v>
      </c>
      <c r="G266" s="94">
        <f t="shared" si="115"/>
        <v>0</v>
      </c>
      <c r="H266" s="94">
        <f t="shared" si="115"/>
        <v>0</v>
      </c>
      <c r="I266" s="94">
        <f t="shared" si="115"/>
        <v>0</v>
      </c>
    </row>
    <row r="267" spans="1:9" ht="26.25" hidden="1" x14ac:dyDescent="0.25">
      <c r="A267" s="163" t="s">
        <v>181</v>
      </c>
      <c r="B267" s="164">
        <v>3293</v>
      </c>
      <c r="C267" s="165">
        <v>3293</v>
      </c>
      <c r="D267" s="124" t="s">
        <v>103</v>
      </c>
      <c r="E267" s="96">
        <v>0</v>
      </c>
      <c r="F267" s="105">
        <v>119.45</v>
      </c>
      <c r="G267" s="79"/>
      <c r="H267" s="79"/>
      <c r="I267" s="80"/>
    </row>
    <row r="268" spans="1:9" hidden="1" x14ac:dyDescent="0.25">
      <c r="A268" s="163" t="s">
        <v>192</v>
      </c>
      <c r="B268" s="164">
        <v>3299</v>
      </c>
      <c r="C268" s="165">
        <v>3299</v>
      </c>
      <c r="D268" s="124" t="s">
        <v>104</v>
      </c>
      <c r="E268" s="96">
        <v>0</v>
      </c>
      <c r="F268" s="105">
        <v>39.82</v>
      </c>
      <c r="G268" s="79"/>
      <c r="H268" s="79"/>
      <c r="I268" s="80"/>
    </row>
    <row r="269" spans="1:9" ht="25.5" x14ac:dyDescent="0.25">
      <c r="A269" s="157">
        <v>4</v>
      </c>
      <c r="B269" s="158"/>
      <c r="C269" s="159"/>
      <c r="D269" s="119" t="s">
        <v>24</v>
      </c>
      <c r="E269" s="93">
        <f>E270</f>
        <v>0</v>
      </c>
      <c r="F269" s="93">
        <f t="shared" ref="F269:I269" si="116">F270</f>
        <v>1795.61</v>
      </c>
      <c r="G269" s="93">
        <f t="shared" si="116"/>
        <v>0</v>
      </c>
      <c r="H269" s="93">
        <f t="shared" si="116"/>
        <v>0</v>
      </c>
      <c r="I269" s="93">
        <f t="shared" si="116"/>
        <v>0</v>
      </c>
    </row>
    <row r="270" spans="1:9" ht="25.5" x14ac:dyDescent="0.25">
      <c r="A270" s="160">
        <v>42</v>
      </c>
      <c r="B270" s="161"/>
      <c r="C270" s="162"/>
      <c r="D270" s="123" t="s">
        <v>108</v>
      </c>
      <c r="E270" s="94">
        <f>SUM(E271:E274)</f>
        <v>0</v>
      </c>
      <c r="F270" s="94">
        <f t="shared" ref="F270:I270" si="117">SUM(F271:F274)</f>
        <v>1795.61</v>
      </c>
      <c r="G270" s="94">
        <f t="shared" si="117"/>
        <v>0</v>
      </c>
      <c r="H270" s="94">
        <f t="shared" si="117"/>
        <v>0</v>
      </c>
      <c r="I270" s="94">
        <f t="shared" si="117"/>
        <v>0</v>
      </c>
    </row>
    <row r="271" spans="1:9" hidden="1" x14ac:dyDescent="0.25">
      <c r="A271" s="163" t="s">
        <v>193</v>
      </c>
      <c r="B271" s="164"/>
      <c r="C271" s="165"/>
      <c r="D271" s="124" t="s">
        <v>109</v>
      </c>
      <c r="E271" s="96">
        <v>0</v>
      </c>
      <c r="F271" s="105">
        <v>1327.23</v>
      </c>
      <c r="G271" s="79"/>
      <c r="H271" s="79"/>
      <c r="I271" s="80"/>
    </row>
    <row r="272" spans="1:9" hidden="1" x14ac:dyDescent="0.25">
      <c r="A272" s="163" t="s">
        <v>194</v>
      </c>
      <c r="B272" s="164"/>
      <c r="C272" s="165"/>
      <c r="D272" s="124" t="s">
        <v>110</v>
      </c>
      <c r="E272" s="96">
        <v>0</v>
      </c>
      <c r="F272" s="105">
        <v>295.83999999999997</v>
      </c>
      <c r="G272" s="79"/>
      <c r="H272" s="79"/>
      <c r="I272" s="80"/>
    </row>
    <row r="273" spans="1:9" ht="20.25" hidden="1" customHeight="1" x14ac:dyDescent="0.25">
      <c r="A273" s="163" t="s">
        <v>195</v>
      </c>
      <c r="B273" s="164"/>
      <c r="C273" s="165"/>
      <c r="D273" s="124" t="s">
        <v>111</v>
      </c>
      <c r="E273" s="96">
        <v>0</v>
      </c>
      <c r="F273" s="105">
        <v>132.72</v>
      </c>
      <c r="G273" s="79"/>
      <c r="H273" s="79"/>
      <c r="I273" s="80"/>
    </row>
    <row r="274" spans="1:9" hidden="1" x14ac:dyDescent="0.25">
      <c r="A274" s="163" t="s">
        <v>196</v>
      </c>
      <c r="B274" s="164"/>
      <c r="C274" s="165"/>
      <c r="D274" s="124" t="s">
        <v>112</v>
      </c>
      <c r="E274" s="96">
        <v>0</v>
      </c>
      <c r="F274" s="105">
        <v>39.82</v>
      </c>
      <c r="G274" s="79"/>
      <c r="H274" s="79"/>
      <c r="I274" s="80"/>
    </row>
    <row r="275" spans="1:9" ht="15" customHeight="1" x14ac:dyDescent="0.25">
      <c r="A275" s="166" t="s">
        <v>146</v>
      </c>
      <c r="B275" s="167"/>
      <c r="C275" s="168"/>
      <c r="D275" s="108" t="s">
        <v>147</v>
      </c>
      <c r="E275" s="92">
        <f>E276+E282</f>
        <v>14913.63</v>
      </c>
      <c r="F275" s="92">
        <f t="shared" ref="F275:I275" si="118">F276+F282</f>
        <v>14463.47</v>
      </c>
      <c r="G275" s="92">
        <f t="shared" si="118"/>
        <v>19410</v>
      </c>
      <c r="H275" s="92">
        <f t="shared" si="118"/>
        <v>19410</v>
      </c>
      <c r="I275" s="92">
        <f t="shared" si="118"/>
        <v>19410</v>
      </c>
    </row>
    <row r="276" spans="1:9" x14ac:dyDescent="0.25">
      <c r="A276" s="157">
        <v>3</v>
      </c>
      <c r="B276" s="158"/>
      <c r="C276" s="159"/>
      <c r="D276" s="119" t="s">
        <v>22</v>
      </c>
      <c r="E276" s="93">
        <f>E277</f>
        <v>14899.37</v>
      </c>
      <c r="F276" s="93">
        <f t="shared" ref="F276:I276" si="119">F277</f>
        <v>14463.47</v>
      </c>
      <c r="G276" s="93">
        <f t="shared" si="119"/>
        <v>19400</v>
      </c>
      <c r="H276" s="93">
        <f t="shared" si="119"/>
        <v>19400</v>
      </c>
      <c r="I276" s="93">
        <f t="shared" si="119"/>
        <v>19400</v>
      </c>
    </row>
    <row r="277" spans="1:9" x14ac:dyDescent="0.25">
      <c r="A277" s="160">
        <v>32</v>
      </c>
      <c r="B277" s="161"/>
      <c r="C277" s="162"/>
      <c r="D277" s="123" t="s">
        <v>36</v>
      </c>
      <c r="E277" s="94">
        <f>SUM(E278:E281)</f>
        <v>14899.37</v>
      </c>
      <c r="F277" s="94">
        <f t="shared" ref="F277:I277" si="120">SUM(F278:F281)</f>
        <v>14463.47</v>
      </c>
      <c r="G277" s="94">
        <f t="shared" si="120"/>
        <v>19400</v>
      </c>
      <c r="H277" s="94">
        <f t="shared" si="120"/>
        <v>19400</v>
      </c>
      <c r="I277" s="94">
        <f t="shared" si="120"/>
        <v>19400</v>
      </c>
    </row>
    <row r="278" spans="1:9" hidden="1" x14ac:dyDescent="0.25">
      <c r="A278" s="163">
        <v>3231</v>
      </c>
      <c r="B278" s="164">
        <v>3231</v>
      </c>
      <c r="C278" s="165">
        <v>3231</v>
      </c>
      <c r="D278" s="121" t="s">
        <v>68</v>
      </c>
      <c r="E278" s="96">
        <f>80585/K1</f>
        <v>10695.47</v>
      </c>
      <c r="F278" s="105">
        <v>10352.379999999999</v>
      </c>
      <c r="G278" s="105">
        <v>15000</v>
      </c>
      <c r="H278" s="105">
        <v>15000</v>
      </c>
      <c r="I278" s="105">
        <v>15000</v>
      </c>
    </row>
    <row r="279" spans="1:9" ht="26.25" hidden="1" x14ac:dyDescent="0.25">
      <c r="A279" s="163" t="s">
        <v>191</v>
      </c>
      <c r="B279" s="164">
        <v>3233</v>
      </c>
      <c r="C279" s="165">
        <v>3233</v>
      </c>
      <c r="D279" s="124" t="s">
        <v>100</v>
      </c>
      <c r="E279" s="96">
        <v>0</v>
      </c>
      <c r="F279" s="105">
        <v>1058.46</v>
      </c>
      <c r="G279" s="105">
        <v>1000</v>
      </c>
      <c r="H279" s="105">
        <v>1000</v>
      </c>
      <c r="I279" s="105">
        <v>1000</v>
      </c>
    </row>
    <row r="280" spans="1:9" hidden="1" x14ac:dyDescent="0.25">
      <c r="A280" s="163" t="s">
        <v>197</v>
      </c>
      <c r="B280" s="164">
        <v>3295</v>
      </c>
      <c r="C280" s="165">
        <v>3295</v>
      </c>
      <c r="D280" s="124" t="s">
        <v>101</v>
      </c>
      <c r="E280" s="96">
        <f>13650/K1</f>
        <v>1811.67</v>
      </c>
      <c r="F280" s="105">
        <v>1844.85</v>
      </c>
      <c r="G280" s="105">
        <v>1900</v>
      </c>
      <c r="H280" s="105">
        <v>1900</v>
      </c>
      <c r="I280" s="105">
        <v>1900</v>
      </c>
    </row>
    <row r="281" spans="1:9" hidden="1" x14ac:dyDescent="0.25">
      <c r="A281" s="163">
        <v>3299</v>
      </c>
      <c r="B281" s="164">
        <v>3299</v>
      </c>
      <c r="C281" s="165">
        <v>3299</v>
      </c>
      <c r="D281" s="121" t="s">
        <v>79</v>
      </c>
      <c r="E281" s="96">
        <f>18024.27/K1</f>
        <v>2392.23</v>
      </c>
      <c r="F281" s="105">
        <v>1207.78</v>
      </c>
      <c r="G281" s="105">
        <v>1500</v>
      </c>
      <c r="H281" s="105">
        <v>1500</v>
      </c>
      <c r="I281" s="105">
        <v>1500</v>
      </c>
    </row>
    <row r="282" spans="1:9" ht="25.5" x14ac:dyDescent="0.25">
      <c r="A282" s="157">
        <v>4</v>
      </c>
      <c r="B282" s="158"/>
      <c r="C282" s="159"/>
      <c r="D282" s="119" t="s">
        <v>24</v>
      </c>
      <c r="E282" s="93">
        <f>E283</f>
        <v>14.26</v>
      </c>
      <c r="F282" s="93">
        <f t="shared" ref="F282:I282" si="121">F283</f>
        <v>0</v>
      </c>
      <c r="G282" s="93">
        <f t="shared" si="121"/>
        <v>10</v>
      </c>
      <c r="H282" s="93">
        <f t="shared" si="121"/>
        <v>10</v>
      </c>
      <c r="I282" s="93">
        <f t="shared" si="121"/>
        <v>10</v>
      </c>
    </row>
    <row r="283" spans="1:9" ht="25.5" x14ac:dyDescent="0.25">
      <c r="A283" s="160">
        <v>42</v>
      </c>
      <c r="B283" s="161"/>
      <c r="C283" s="162"/>
      <c r="D283" s="123" t="s">
        <v>108</v>
      </c>
      <c r="E283" s="94">
        <f>SUM(E284:E284)</f>
        <v>14.26</v>
      </c>
      <c r="F283" s="94">
        <f t="shared" ref="F283:I283" si="122">SUM(F284:F284)</f>
        <v>0</v>
      </c>
      <c r="G283" s="94">
        <f t="shared" si="122"/>
        <v>10</v>
      </c>
      <c r="H283" s="94">
        <f t="shared" si="122"/>
        <v>10</v>
      </c>
      <c r="I283" s="94">
        <f t="shared" si="122"/>
        <v>10</v>
      </c>
    </row>
    <row r="284" spans="1:9" hidden="1" x14ac:dyDescent="0.25">
      <c r="A284" s="163" t="s">
        <v>196</v>
      </c>
      <c r="B284" s="164"/>
      <c r="C284" s="165"/>
      <c r="D284" s="124" t="s">
        <v>112</v>
      </c>
      <c r="E284" s="96">
        <f>107.41/K1</f>
        <v>14.26</v>
      </c>
      <c r="F284" s="79"/>
      <c r="G284" s="105">
        <v>10</v>
      </c>
      <c r="H284" s="105">
        <v>10</v>
      </c>
      <c r="I284" s="115">
        <v>10</v>
      </c>
    </row>
    <row r="285" spans="1:9" ht="15" customHeight="1" x14ac:dyDescent="0.25">
      <c r="A285" s="166" t="s">
        <v>148</v>
      </c>
      <c r="B285" s="167"/>
      <c r="C285" s="168"/>
      <c r="D285" s="108" t="s">
        <v>149</v>
      </c>
      <c r="E285" s="92">
        <f>E286+E309</f>
        <v>7148.52</v>
      </c>
      <c r="F285" s="92">
        <f>F286+F309</f>
        <v>15488.84</v>
      </c>
      <c r="G285" s="92">
        <f>G286+G309</f>
        <v>10760</v>
      </c>
      <c r="H285" s="92">
        <f>H286+H309</f>
        <v>10760</v>
      </c>
      <c r="I285" s="92">
        <f>I286+I309</f>
        <v>10760</v>
      </c>
    </row>
    <row r="286" spans="1:9" x14ac:dyDescent="0.25">
      <c r="A286" s="157">
        <v>3</v>
      </c>
      <c r="B286" s="158"/>
      <c r="C286" s="159"/>
      <c r="D286" s="119" t="s">
        <v>22</v>
      </c>
      <c r="E286" s="93">
        <f>E287+E307</f>
        <v>4705.08</v>
      </c>
      <c r="F286" s="93">
        <f t="shared" ref="F286:I286" si="123">F287+F307</f>
        <v>14294.33</v>
      </c>
      <c r="G286" s="93">
        <f t="shared" si="123"/>
        <v>9310</v>
      </c>
      <c r="H286" s="93">
        <f t="shared" si="123"/>
        <v>9310</v>
      </c>
      <c r="I286" s="93">
        <f t="shared" si="123"/>
        <v>9310</v>
      </c>
    </row>
    <row r="287" spans="1:9" x14ac:dyDescent="0.25">
      <c r="A287" s="160">
        <v>32</v>
      </c>
      <c r="B287" s="161"/>
      <c r="C287" s="162"/>
      <c r="D287" s="123" t="s">
        <v>36</v>
      </c>
      <c r="E287" s="94">
        <f>SUM(E288:E306)</f>
        <v>4705.08</v>
      </c>
      <c r="F287" s="94">
        <f t="shared" ref="F287:I287" si="124">SUM(F288:F306)</f>
        <v>14294.33</v>
      </c>
      <c r="G287" s="94">
        <f t="shared" si="124"/>
        <v>9300</v>
      </c>
      <c r="H287" s="94">
        <f t="shared" si="124"/>
        <v>9300</v>
      </c>
      <c r="I287" s="94">
        <f t="shared" si="124"/>
        <v>9300</v>
      </c>
    </row>
    <row r="288" spans="1:9" hidden="1" x14ac:dyDescent="0.25">
      <c r="A288" s="163">
        <v>3211</v>
      </c>
      <c r="B288" s="164"/>
      <c r="C288" s="165"/>
      <c r="D288" s="121" t="s">
        <v>62</v>
      </c>
      <c r="E288" s="96">
        <f>4116.28/K1</f>
        <v>546.32000000000005</v>
      </c>
      <c r="F288" s="105">
        <v>6202.35</v>
      </c>
      <c r="G288" s="105">
        <v>600</v>
      </c>
      <c r="H288" s="105">
        <v>600</v>
      </c>
      <c r="I288" s="105">
        <v>600</v>
      </c>
    </row>
    <row r="289" spans="1:9" hidden="1" x14ac:dyDescent="0.25">
      <c r="A289" s="163">
        <v>3213</v>
      </c>
      <c r="B289" s="164">
        <v>3213</v>
      </c>
      <c r="C289" s="165">
        <v>3213</v>
      </c>
      <c r="D289" s="121" t="s">
        <v>63</v>
      </c>
      <c r="E289" s="96">
        <f>449/K1</f>
        <v>59.59</v>
      </c>
      <c r="F289" s="105">
        <v>2000</v>
      </c>
      <c r="G289" s="105">
        <v>100</v>
      </c>
      <c r="H289" s="105">
        <v>100</v>
      </c>
      <c r="I289" s="105">
        <v>100</v>
      </c>
    </row>
    <row r="290" spans="1:9" hidden="1" x14ac:dyDescent="0.25">
      <c r="A290" s="163" t="s">
        <v>208</v>
      </c>
      <c r="B290" s="164">
        <v>3213</v>
      </c>
      <c r="C290" s="165">
        <v>3213</v>
      </c>
      <c r="D290" s="121" t="s">
        <v>209</v>
      </c>
      <c r="E290" s="96">
        <v>0</v>
      </c>
      <c r="F290" s="105">
        <v>0</v>
      </c>
      <c r="G290" s="105">
        <v>50</v>
      </c>
      <c r="H290" s="105">
        <v>50</v>
      </c>
      <c r="I290" s="105">
        <v>50</v>
      </c>
    </row>
    <row r="291" spans="1:9" hidden="1" x14ac:dyDescent="0.25">
      <c r="A291" s="163">
        <v>3221</v>
      </c>
      <c r="B291" s="164">
        <v>3221</v>
      </c>
      <c r="C291" s="165">
        <v>3221</v>
      </c>
      <c r="D291" s="121" t="s">
        <v>64</v>
      </c>
      <c r="E291" s="96">
        <f>1199/K1</f>
        <v>159.13</v>
      </c>
      <c r="F291" s="105">
        <v>1393.59</v>
      </c>
      <c r="G291" s="105">
        <v>1400</v>
      </c>
      <c r="H291" s="105">
        <v>1400</v>
      </c>
      <c r="I291" s="105">
        <v>1400</v>
      </c>
    </row>
    <row r="292" spans="1:9" hidden="1" x14ac:dyDescent="0.25">
      <c r="A292" s="163">
        <v>3223</v>
      </c>
      <c r="B292" s="164">
        <v>3223</v>
      </c>
      <c r="C292" s="165">
        <v>3223</v>
      </c>
      <c r="D292" s="121" t="s">
        <v>65</v>
      </c>
      <c r="E292" s="96">
        <v>0</v>
      </c>
      <c r="F292" s="105">
        <v>0</v>
      </c>
      <c r="G292" s="105">
        <v>100</v>
      </c>
      <c r="H292" s="105">
        <v>100</v>
      </c>
      <c r="I292" s="105">
        <v>100</v>
      </c>
    </row>
    <row r="293" spans="1:9" hidden="1" x14ac:dyDescent="0.25">
      <c r="A293" s="163">
        <v>3225</v>
      </c>
      <c r="B293" s="164">
        <v>3225</v>
      </c>
      <c r="C293" s="165">
        <v>3225</v>
      </c>
      <c r="D293" s="121" t="s">
        <v>66</v>
      </c>
      <c r="E293" s="96">
        <f>4494.96/K1</f>
        <v>596.58000000000004</v>
      </c>
      <c r="F293" s="105">
        <v>849.43</v>
      </c>
      <c r="G293" s="105">
        <v>1000</v>
      </c>
      <c r="H293" s="105">
        <v>1000</v>
      </c>
      <c r="I293" s="105">
        <v>1000</v>
      </c>
    </row>
    <row r="294" spans="1:9" hidden="1" x14ac:dyDescent="0.25">
      <c r="A294" s="163">
        <v>3227</v>
      </c>
      <c r="B294" s="164">
        <v>3227</v>
      </c>
      <c r="C294" s="165">
        <v>3227</v>
      </c>
      <c r="D294" s="121" t="s">
        <v>67</v>
      </c>
      <c r="E294" s="96">
        <v>0</v>
      </c>
      <c r="F294" s="105">
        <v>0</v>
      </c>
      <c r="G294" s="105">
        <v>100</v>
      </c>
      <c r="H294" s="105">
        <v>100</v>
      </c>
      <c r="I294" s="105">
        <v>100</v>
      </c>
    </row>
    <row r="295" spans="1:9" hidden="1" x14ac:dyDescent="0.25">
      <c r="A295" s="163">
        <v>3231</v>
      </c>
      <c r="B295" s="164">
        <v>3231</v>
      </c>
      <c r="C295" s="165">
        <v>3231</v>
      </c>
      <c r="D295" s="121" t="s">
        <v>68</v>
      </c>
      <c r="E295" s="96">
        <f>7492.5/K1</f>
        <v>994.43</v>
      </c>
      <c r="F295" s="105">
        <v>1526.31</v>
      </c>
      <c r="G295" s="105">
        <v>1500</v>
      </c>
      <c r="H295" s="105">
        <v>1500</v>
      </c>
      <c r="I295" s="105">
        <v>1500</v>
      </c>
    </row>
    <row r="296" spans="1:9" hidden="1" x14ac:dyDescent="0.25">
      <c r="A296" s="163" t="s">
        <v>191</v>
      </c>
      <c r="B296" s="164">
        <v>3233</v>
      </c>
      <c r="C296" s="165">
        <v>3233</v>
      </c>
      <c r="D296" s="121" t="s">
        <v>83</v>
      </c>
      <c r="E296" s="96">
        <f>16729.5/K1</f>
        <v>2220.39</v>
      </c>
      <c r="F296" s="105">
        <v>0</v>
      </c>
      <c r="G296" s="105">
        <v>200</v>
      </c>
      <c r="H296" s="105">
        <v>200</v>
      </c>
      <c r="I296" s="105">
        <v>200</v>
      </c>
    </row>
    <row r="297" spans="1:9" hidden="1" x14ac:dyDescent="0.25">
      <c r="A297" s="163">
        <v>3234</v>
      </c>
      <c r="B297" s="164">
        <v>3234</v>
      </c>
      <c r="C297" s="165">
        <v>3234</v>
      </c>
      <c r="D297" s="121" t="s">
        <v>70</v>
      </c>
      <c r="E297" s="96">
        <v>0</v>
      </c>
      <c r="F297" s="105">
        <v>0</v>
      </c>
      <c r="G297" s="105">
        <v>0</v>
      </c>
      <c r="H297" s="105">
        <v>0</v>
      </c>
      <c r="I297" s="105">
        <v>0</v>
      </c>
    </row>
    <row r="298" spans="1:9" hidden="1" x14ac:dyDescent="0.25">
      <c r="A298" s="163">
        <v>3235</v>
      </c>
      <c r="B298" s="164">
        <v>3235</v>
      </c>
      <c r="C298" s="165">
        <v>3235</v>
      </c>
      <c r="D298" s="121" t="s">
        <v>71</v>
      </c>
      <c r="E298" s="96">
        <v>0</v>
      </c>
      <c r="F298" s="105">
        <v>66.36</v>
      </c>
      <c r="G298" s="105">
        <v>200</v>
      </c>
      <c r="H298" s="105">
        <v>200</v>
      </c>
      <c r="I298" s="105">
        <v>200</v>
      </c>
    </row>
    <row r="299" spans="1:9" hidden="1" x14ac:dyDescent="0.25">
      <c r="A299" s="163">
        <v>3236</v>
      </c>
      <c r="B299" s="164">
        <v>3236</v>
      </c>
      <c r="C299" s="165">
        <v>3236</v>
      </c>
      <c r="D299" s="121" t="s">
        <v>72</v>
      </c>
      <c r="E299" s="96">
        <v>0</v>
      </c>
      <c r="F299" s="105">
        <v>0</v>
      </c>
      <c r="G299" s="105">
        <v>100</v>
      </c>
      <c r="H299" s="105">
        <v>100</v>
      </c>
      <c r="I299" s="105">
        <v>100</v>
      </c>
    </row>
    <row r="300" spans="1:9" hidden="1" x14ac:dyDescent="0.25">
      <c r="A300" s="163">
        <v>3237</v>
      </c>
      <c r="B300" s="164">
        <v>3237</v>
      </c>
      <c r="C300" s="165">
        <v>3237</v>
      </c>
      <c r="D300" s="121" t="s">
        <v>73</v>
      </c>
      <c r="E300" s="96">
        <v>0</v>
      </c>
      <c r="F300" s="105">
        <v>0</v>
      </c>
      <c r="G300" s="105">
        <v>0</v>
      </c>
      <c r="H300" s="105">
        <v>0</v>
      </c>
      <c r="I300" s="105">
        <v>0</v>
      </c>
    </row>
    <row r="301" spans="1:9" hidden="1" x14ac:dyDescent="0.25">
      <c r="A301" s="163">
        <v>3238</v>
      </c>
      <c r="B301" s="164">
        <v>3238</v>
      </c>
      <c r="C301" s="165">
        <v>3238</v>
      </c>
      <c r="D301" s="121" t="s">
        <v>74</v>
      </c>
      <c r="E301" s="96">
        <v>0</v>
      </c>
      <c r="F301" s="105">
        <v>0</v>
      </c>
      <c r="G301" s="105">
        <v>100</v>
      </c>
      <c r="H301" s="105">
        <v>100</v>
      </c>
      <c r="I301" s="105">
        <v>100</v>
      </c>
    </row>
    <row r="302" spans="1:9" hidden="1" x14ac:dyDescent="0.25">
      <c r="A302" s="163">
        <v>3239</v>
      </c>
      <c r="B302" s="164">
        <v>3239</v>
      </c>
      <c r="C302" s="165">
        <v>3239</v>
      </c>
      <c r="D302" s="121" t="s">
        <v>75</v>
      </c>
      <c r="E302" s="96">
        <v>0</v>
      </c>
      <c r="F302" s="105">
        <v>1818.3</v>
      </c>
      <c r="G302" s="105">
        <v>1500</v>
      </c>
      <c r="H302" s="105">
        <v>1500</v>
      </c>
      <c r="I302" s="105">
        <v>1500</v>
      </c>
    </row>
    <row r="303" spans="1:9" hidden="1" x14ac:dyDescent="0.25">
      <c r="A303" s="163">
        <v>3293</v>
      </c>
      <c r="B303" s="164">
        <v>3293</v>
      </c>
      <c r="C303" s="165">
        <v>3293</v>
      </c>
      <c r="D303" s="121" t="s">
        <v>76</v>
      </c>
      <c r="E303" s="96">
        <f>292.5/K1</f>
        <v>38.82</v>
      </c>
      <c r="F303" s="105">
        <v>106.18</v>
      </c>
      <c r="G303" s="105">
        <v>150</v>
      </c>
      <c r="H303" s="105">
        <v>150</v>
      </c>
      <c r="I303" s="105">
        <v>150</v>
      </c>
    </row>
    <row r="304" spans="1:9" hidden="1" x14ac:dyDescent="0.25">
      <c r="A304" s="163">
        <v>3294</v>
      </c>
      <c r="B304" s="164">
        <v>3294</v>
      </c>
      <c r="C304" s="165">
        <v>3294</v>
      </c>
      <c r="D304" s="121" t="s">
        <v>77</v>
      </c>
      <c r="E304" s="96">
        <v>0</v>
      </c>
      <c r="F304" s="105">
        <v>0</v>
      </c>
      <c r="G304" s="105">
        <v>0</v>
      </c>
      <c r="H304" s="105">
        <v>0</v>
      </c>
      <c r="I304" s="105">
        <v>0</v>
      </c>
    </row>
    <row r="305" spans="1:9" hidden="1" x14ac:dyDescent="0.25">
      <c r="A305" s="163">
        <v>3295</v>
      </c>
      <c r="B305" s="164">
        <v>3295</v>
      </c>
      <c r="C305" s="165">
        <v>3295</v>
      </c>
      <c r="D305" s="121" t="s">
        <v>78</v>
      </c>
      <c r="E305" s="96">
        <v>0</v>
      </c>
      <c r="F305" s="105">
        <v>0</v>
      </c>
      <c r="G305" s="105">
        <v>0</v>
      </c>
      <c r="H305" s="105">
        <v>0</v>
      </c>
      <c r="I305" s="105">
        <v>0</v>
      </c>
    </row>
    <row r="306" spans="1:9" hidden="1" x14ac:dyDescent="0.25">
      <c r="A306" s="163">
        <v>3299</v>
      </c>
      <c r="B306" s="164">
        <v>3299</v>
      </c>
      <c r="C306" s="165">
        <v>3299</v>
      </c>
      <c r="D306" s="121" t="s">
        <v>79</v>
      </c>
      <c r="E306" s="96">
        <f>676.72/K1</f>
        <v>89.82</v>
      </c>
      <c r="F306" s="105">
        <v>331.81</v>
      </c>
      <c r="G306" s="105">
        <f>1700+500</f>
        <v>2200</v>
      </c>
      <c r="H306" s="105">
        <f>1700+500</f>
        <v>2200</v>
      </c>
      <c r="I306" s="105">
        <f>1700+500</f>
        <v>2200</v>
      </c>
    </row>
    <row r="307" spans="1:9" x14ac:dyDescent="0.25">
      <c r="A307" s="160">
        <v>34</v>
      </c>
      <c r="B307" s="161"/>
      <c r="C307" s="162"/>
      <c r="D307" s="123" t="s">
        <v>102</v>
      </c>
      <c r="E307" s="94">
        <f>E308</f>
        <v>0</v>
      </c>
      <c r="F307" s="94">
        <f t="shared" ref="F307:I307" si="125">F308</f>
        <v>0</v>
      </c>
      <c r="G307" s="94">
        <f t="shared" si="125"/>
        <v>10</v>
      </c>
      <c r="H307" s="94">
        <f t="shared" si="125"/>
        <v>10</v>
      </c>
      <c r="I307" s="94">
        <f t="shared" si="125"/>
        <v>10</v>
      </c>
    </row>
    <row r="308" spans="1:9" hidden="1" x14ac:dyDescent="0.25">
      <c r="A308" s="163" t="s">
        <v>192</v>
      </c>
      <c r="B308" s="164">
        <v>3299</v>
      </c>
      <c r="C308" s="165">
        <v>3299</v>
      </c>
      <c r="D308" s="124" t="s">
        <v>104</v>
      </c>
      <c r="E308" s="96">
        <v>0</v>
      </c>
      <c r="F308" s="79"/>
      <c r="G308" s="105">
        <v>10</v>
      </c>
      <c r="H308" s="105">
        <v>10</v>
      </c>
      <c r="I308" s="105">
        <v>10</v>
      </c>
    </row>
    <row r="309" spans="1:9" ht="25.5" x14ac:dyDescent="0.25">
      <c r="A309" s="157">
        <v>4</v>
      </c>
      <c r="B309" s="158"/>
      <c r="C309" s="159"/>
      <c r="D309" s="119" t="s">
        <v>24</v>
      </c>
      <c r="E309" s="93">
        <f>E310</f>
        <v>2443.44</v>
      </c>
      <c r="F309" s="93">
        <f t="shared" ref="F309:I309" si="126">F310</f>
        <v>1194.51</v>
      </c>
      <c r="G309" s="93">
        <f t="shared" si="126"/>
        <v>1450</v>
      </c>
      <c r="H309" s="93">
        <f t="shared" si="126"/>
        <v>1450</v>
      </c>
      <c r="I309" s="93">
        <f t="shared" si="126"/>
        <v>1450</v>
      </c>
    </row>
    <row r="310" spans="1:9" ht="25.5" x14ac:dyDescent="0.25">
      <c r="A310" s="160">
        <v>42</v>
      </c>
      <c r="B310" s="161"/>
      <c r="C310" s="162"/>
      <c r="D310" s="123" t="s">
        <v>108</v>
      </c>
      <c r="E310" s="94">
        <f>SUM(E311:E313)</f>
        <v>2443.44</v>
      </c>
      <c r="F310" s="94">
        <f t="shared" ref="F310:I310" si="127">SUM(F311:F313)</f>
        <v>1194.51</v>
      </c>
      <c r="G310" s="94">
        <f t="shared" si="127"/>
        <v>1450</v>
      </c>
      <c r="H310" s="94">
        <f t="shared" si="127"/>
        <v>1450</v>
      </c>
      <c r="I310" s="94">
        <f t="shared" si="127"/>
        <v>1450</v>
      </c>
    </row>
    <row r="311" spans="1:9" hidden="1" x14ac:dyDescent="0.25">
      <c r="A311" s="163" t="s">
        <v>193</v>
      </c>
      <c r="B311" s="164"/>
      <c r="C311" s="165"/>
      <c r="D311" s="124" t="s">
        <v>109</v>
      </c>
      <c r="E311" s="96">
        <f>10196/K1</f>
        <v>1353.24</v>
      </c>
      <c r="F311" s="105">
        <v>265.45</v>
      </c>
      <c r="G311" s="105">
        <v>300</v>
      </c>
      <c r="H311" s="105">
        <v>300</v>
      </c>
      <c r="I311" s="105">
        <v>300</v>
      </c>
    </row>
    <row r="312" spans="1:9" ht="26.25" hidden="1" x14ac:dyDescent="0.25">
      <c r="A312" s="163" t="s">
        <v>195</v>
      </c>
      <c r="B312" s="164"/>
      <c r="C312" s="165"/>
      <c r="D312" s="124" t="s">
        <v>117</v>
      </c>
      <c r="E312" s="96">
        <f>1518.1/K1</f>
        <v>201.49</v>
      </c>
      <c r="F312" s="105"/>
      <c r="G312" s="105">
        <v>200</v>
      </c>
      <c r="H312" s="105">
        <v>200</v>
      </c>
      <c r="I312" s="105">
        <v>200</v>
      </c>
    </row>
    <row r="313" spans="1:9" hidden="1" x14ac:dyDescent="0.25">
      <c r="A313" s="163" t="s">
        <v>196</v>
      </c>
      <c r="B313" s="164"/>
      <c r="C313" s="165"/>
      <c r="D313" s="124" t="s">
        <v>112</v>
      </c>
      <c r="E313" s="96">
        <f>6696.02/K1</f>
        <v>888.71</v>
      </c>
      <c r="F313" s="105">
        <v>929.06</v>
      </c>
      <c r="G313" s="105">
        <v>950</v>
      </c>
      <c r="H313" s="105">
        <v>950</v>
      </c>
      <c r="I313" s="105">
        <v>950</v>
      </c>
    </row>
    <row r="314" spans="1:9" ht="15" customHeight="1" x14ac:dyDescent="0.25">
      <c r="A314" s="166" t="s">
        <v>232</v>
      </c>
      <c r="B314" s="167"/>
      <c r="C314" s="168"/>
      <c r="D314" s="108" t="s">
        <v>150</v>
      </c>
      <c r="E314" s="92">
        <f>E315</f>
        <v>530.89</v>
      </c>
      <c r="F314" s="92">
        <f t="shared" ref="F314:I314" si="128">F315</f>
        <v>530.89</v>
      </c>
      <c r="G314" s="92">
        <f t="shared" si="128"/>
        <v>600</v>
      </c>
      <c r="H314" s="92">
        <f t="shared" si="128"/>
        <v>600</v>
      </c>
      <c r="I314" s="92">
        <f t="shared" si="128"/>
        <v>600</v>
      </c>
    </row>
    <row r="315" spans="1:9" x14ac:dyDescent="0.25">
      <c r="A315" s="157">
        <v>3</v>
      </c>
      <c r="B315" s="158"/>
      <c r="C315" s="159"/>
      <c r="D315" s="119" t="s">
        <v>22</v>
      </c>
      <c r="E315" s="93">
        <f>E316</f>
        <v>530.89</v>
      </c>
      <c r="F315" s="93">
        <f t="shared" ref="F315:I315" si="129">F316</f>
        <v>530.89</v>
      </c>
      <c r="G315" s="93">
        <f t="shared" si="129"/>
        <v>600</v>
      </c>
      <c r="H315" s="93">
        <f t="shared" si="129"/>
        <v>600</v>
      </c>
      <c r="I315" s="93">
        <f t="shared" si="129"/>
        <v>600</v>
      </c>
    </row>
    <row r="316" spans="1:9" x14ac:dyDescent="0.25">
      <c r="A316" s="160">
        <v>32</v>
      </c>
      <c r="B316" s="161"/>
      <c r="C316" s="162"/>
      <c r="D316" s="123" t="s">
        <v>36</v>
      </c>
      <c r="E316" s="94">
        <f>E317</f>
        <v>530.89</v>
      </c>
      <c r="F316" s="94">
        <f t="shared" ref="F316:I316" si="130">F317</f>
        <v>530.89</v>
      </c>
      <c r="G316" s="94">
        <f t="shared" si="130"/>
        <v>600</v>
      </c>
      <c r="H316" s="94">
        <f t="shared" si="130"/>
        <v>600</v>
      </c>
      <c r="I316" s="94">
        <f t="shared" si="130"/>
        <v>600</v>
      </c>
    </row>
    <row r="317" spans="1:9" hidden="1" x14ac:dyDescent="0.25">
      <c r="A317" s="163">
        <v>3299</v>
      </c>
      <c r="B317" s="164">
        <v>3299</v>
      </c>
      <c r="C317" s="165">
        <v>3299</v>
      </c>
      <c r="D317" s="121" t="s">
        <v>79</v>
      </c>
      <c r="E317" s="96">
        <f>4000/K1</f>
        <v>530.89</v>
      </c>
      <c r="F317" s="105">
        <v>530.89</v>
      </c>
      <c r="G317" s="105">
        <v>600</v>
      </c>
      <c r="H317" s="105">
        <v>600</v>
      </c>
      <c r="I317" s="105">
        <v>600</v>
      </c>
    </row>
    <row r="318" spans="1:9" ht="27.75" customHeight="1" x14ac:dyDescent="0.25">
      <c r="A318" s="169" t="s">
        <v>81</v>
      </c>
      <c r="B318" s="170"/>
      <c r="C318" s="171"/>
      <c r="D318" s="118" t="s">
        <v>151</v>
      </c>
      <c r="E318" s="91">
        <f>E319</f>
        <v>1075737.96</v>
      </c>
      <c r="F318" s="91">
        <f t="shared" ref="F318:I318" si="131">F319</f>
        <v>1114864.29</v>
      </c>
      <c r="G318" s="91">
        <f t="shared" si="131"/>
        <v>1362480</v>
      </c>
      <c r="H318" s="91">
        <f t="shared" si="131"/>
        <v>1362480</v>
      </c>
      <c r="I318" s="91">
        <f t="shared" si="131"/>
        <v>1362480</v>
      </c>
    </row>
    <row r="319" spans="1:9" ht="15" customHeight="1" x14ac:dyDescent="0.25">
      <c r="A319" s="166" t="s">
        <v>148</v>
      </c>
      <c r="B319" s="167"/>
      <c r="C319" s="168"/>
      <c r="D319" s="108" t="s">
        <v>149</v>
      </c>
      <c r="E319" s="92">
        <f>E320</f>
        <v>1075737.96</v>
      </c>
      <c r="F319" s="92">
        <f t="shared" ref="F319:I319" si="132">F320</f>
        <v>1114864.29</v>
      </c>
      <c r="G319" s="92">
        <f t="shared" si="132"/>
        <v>1362480</v>
      </c>
      <c r="H319" s="92">
        <f t="shared" si="132"/>
        <v>1362480</v>
      </c>
      <c r="I319" s="92">
        <f t="shared" si="132"/>
        <v>1362480</v>
      </c>
    </row>
    <row r="320" spans="1:9" x14ac:dyDescent="0.25">
      <c r="A320" s="157">
        <v>3</v>
      </c>
      <c r="B320" s="158"/>
      <c r="C320" s="159"/>
      <c r="D320" s="119" t="s">
        <v>22</v>
      </c>
      <c r="E320" s="93">
        <f>E321+E326+E331</f>
        <v>1075737.96</v>
      </c>
      <c r="F320" s="93">
        <f t="shared" ref="F320:H320" si="133">F321+F326+F331</f>
        <v>1114864.29</v>
      </c>
      <c r="G320" s="93">
        <f t="shared" si="133"/>
        <v>1362480</v>
      </c>
      <c r="H320" s="93">
        <f t="shared" si="133"/>
        <v>1362480</v>
      </c>
      <c r="I320" s="93">
        <f>I321+I326+I331</f>
        <v>1362480</v>
      </c>
    </row>
    <row r="321" spans="1:9" x14ac:dyDescent="0.25">
      <c r="A321" s="160">
        <v>31</v>
      </c>
      <c r="B321" s="161"/>
      <c r="C321" s="162"/>
      <c r="D321" s="123" t="s">
        <v>23</v>
      </c>
      <c r="E321" s="94">
        <f>SUM(E322:E325)</f>
        <v>1031839.15</v>
      </c>
      <c r="F321" s="94">
        <f t="shared" ref="F321:I321" si="134">SUM(F322:F325)</f>
        <v>1066934.77</v>
      </c>
      <c r="G321" s="94">
        <f t="shared" si="134"/>
        <v>1310610</v>
      </c>
      <c r="H321" s="94">
        <f t="shared" si="134"/>
        <v>1310610</v>
      </c>
      <c r="I321" s="94">
        <f t="shared" si="134"/>
        <v>1310610</v>
      </c>
    </row>
    <row r="322" spans="1:9" hidden="1" x14ac:dyDescent="0.25">
      <c r="A322" s="163" t="s">
        <v>185</v>
      </c>
      <c r="B322" s="164"/>
      <c r="C322" s="165"/>
      <c r="D322" s="124" t="s">
        <v>90</v>
      </c>
      <c r="E322" s="96">
        <f>6412777.49/K1</f>
        <v>851121.84</v>
      </c>
      <c r="F322" s="105">
        <v>888210.24</v>
      </c>
      <c r="G322" s="105">
        <f>82000*12*1.1</f>
        <v>1082400</v>
      </c>
      <c r="H322" s="105">
        <f>82000*12*1.1</f>
        <v>1082400</v>
      </c>
      <c r="I322" s="105">
        <f>82000*12*1.1</f>
        <v>1082400</v>
      </c>
    </row>
    <row r="323" spans="1:9" hidden="1" x14ac:dyDescent="0.25">
      <c r="A323" s="163" t="s">
        <v>186</v>
      </c>
      <c r="B323" s="164"/>
      <c r="C323" s="165"/>
      <c r="D323" s="124" t="s">
        <v>91</v>
      </c>
      <c r="E323" s="96">
        <f>296018.66/K1</f>
        <v>39288.43</v>
      </c>
      <c r="F323" s="105">
        <v>35198.089999999997</v>
      </c>
      <c r="G323" s="105">
        <v>50000</v>
      </c>
      <c r="H323" s="105">
        <v>50000</v>
      </c>
      <c r="I323" s="105">
        <v>50000</v>
      </c>
    </row>
    <row r="324" spans="1:9" hidden="1" x14ac:dyDescent="0.25">
      <c r="A324" s="163" t="s">
        <v>187</v>
      </c>
      <c r="B324" s="164"/>
      <c r="C324" s="165"/>
      <c r="D324" s="124" t="s">
        <v>92</v>
      </c>
      <c r="E324" s="96">
        <f>1064366.94/K1</f>
        <v>141265.76999999999</v>
      </c>
      <c r="F324" s="105">
        <v>143499.9</v>
      </c>
      <c r="G324" s="105">
        <f>13500*12*1.1</f>
        <v>178200</v>
      </c>
      <c r="H324" s="105">
        <f>13500*12*1.1</f>
        <v>178200</v>
      </c>
      <c r="I324" s="105">
        <f>13500*12*1.1</f>
        <v>178200</v>
      </c>
    </row>
    <row r="325" spans="1:9" ht="26.25" hidden="1" x14ac:dyDescent="0.25">
      <c r="A325" s="163" t="s">
        <v>200</v>
      </c>
      <c r="B325" s="164"/>
      <c r="C325" s="165"/>
      <c r="D325" s="124" t="s">
        <v>113</v>
      </c>
      <c r="E325" s="96">
        <f>1228.92/K1</f>
        <v>163.11000000000001</v>
      </c>
      <c r="F325" s="105">
        <v>26.54</v>
      </c>
      <c r="G325" s="105">
        <v>10</v>
      </c>
      <c r="H325" s="105">
        <v>10</v>
      </c>
      <c r="I325" s="105">
        <v>10</v>
      </c>
    </row>
    <row r="326" spans="1:9" x14ac:dyDescent="0.25">
      <c r="A326" s="160">
        <v>32</v>
      </c>
      <c r="B326" s="161"/>
      <c r="C326" s="162"/>
      <c r="D326" s="123" t="s">
        <v>36</v>
      </c>
      <c r="E326" s="94">
        <f>SUM(E327:E330)</f>
        <v>40368.79</v>
      </c>
      <c r="F326" s="94">
        <f t="shared" ref="F326:I326" si="135">SUM(F327:F330)</f>
        <v>47796.800000000003</v>
      </c>
      <c r="G326" s="94">
        <f t="shared" si="135"/>
        <v>51860</v>
      </c>
      <c r="H326" s="94">
        <f t="shared" si="135"/>
        <v>51860</v>
      </c>
      <c r="I326" s="94">
        <f t="shared" si="135"/>
        <v>51860</v>
      </c>
    </row>
    <row r="327" spans="1:9" hidden="1" x14ac:dyDescent="0.25">
      <c r="A327" s="163" t="s">
        <v>189</v>
      </c>
      <c r="B327" s="164"/>
      <c r="C327" s="165"/>
      <c r="D327" s="124" t="s">
        <v>93</v>
      </c>
      <c r="E327" s="96">
        <f>242495.4/K1</f>
        <v>32184.67</v>
      </c>
      <c r="F327" s="105">
        <v>44170.15</v>
      </c>
      <c r="G327" s="105">
        <f>4000*11*1.1</f>
        <v>48400</v>
      </c>
      <c r="H327" s="105">
        <f>4000*11*1.1</f>
        <v>48400</v>
      </c>
      <c r="I327" s="105">
        <f>4000*11*1.1</f>
        <v>48400</v>
      </c>
    </row>
    <row r="328" spans="1:9" hidden="1" x14ac:dyDescent="0.25">
      <c r="A328" s="163" t="s">
        <v>199</v>
      </c>
      <c r="B328" s="164"/>
      <c r="C328" s="165"/>
      <c r="D328" s="129" t="s">
        <v>198</v>
      </c>
      <c r="E328" s="96">
        <f>4050/K1</f>
        <v>537.53</v>
      </c>
      <c r="F328" s="105">
        <v>132.72</v>
      </c>
      <c r="G328" s="105">
        <v>50</v>
      </c>
      <c r="H328" s="105">
        <v>50</v>
      </c>
      <c r="I328" s="105">
        <v>50</v>
      </c>
    </row>
    <row r="329" spans="1:9" hidden="1" x14ac:dyDescent="0.25">
      <c r="A329" s="163" t="s">
        <v>201</v>
      </c>
      <c r="B329" s="164"/>
      <c r="C329" s="165"/>
      <c r="D329" s="124" t="s">
        <v>114</v>
      </c>
      <c r="E329" s="96">
        <f>20450/K1</f>
        <v>2714.18</v>
      </c>
      <c r="F329" s="105">
        <v>2963.04</v>
      </c>
      <c r="G329" s="105">
        <f>280*12</f>
        <v>3360</v>
      </c>
      <c r="H329" s="105">
        <f>280*12</f>
        <v>3360</v>
      </c>
      <c r="I329" s="105">
        <f>280*12</f>
        <v>3360</v>
      </c>
    </row>
    <row r="330" spans="1:9" hidden="1" x14ac:dyDescent="0.25">
      <c r="A330" s="126" t="s">
        <v>202</v>
      </c>
      <c r="B330" s="127"/>
      <c r="C330" s="128"/>
      <c r="D330" s="124" t="s">
        <v>115</v>
      </c>
      <c r="E330" s="96">
        <f>37163.22/K1</f>
        <v>4932.41</v>
      </c>
      <c r="F330" s="105">
        <v>530.89</v>
      </c>
      <c r="G330" s="105">
        <v>50</v>
      </c>
      <c r="H330" s="105">
        <v>50</v>
      </c>
      <c r="I330" s="105">
        <v>50</v>
      </c>
    </row>
    <row r="331" spans="1:9" x14ac:dyDescent="0.25">
      <c r="A331" s="160">
        <v>34</v>
      </c>
      <c r="B331" s="161"/>
      <c r="C331" s="162"/>
      <c r="D331" s="123" t="s">
        <v>102</v>
      </c>
      <c r="E331" s="94">
        <f>E332</f>
        <v>3530.02</v>
      </c>
      <c r="F331" s="94">
        <f t="shared" ref="F331:I331" si="136">F332</f>
        <v>132.72</v>
      </c>
      <c r="G331" s="106">
        <f t="shared" si="136"/>
        <v>10</v>
      </c>
      <c r="H331" s="94">
        <f t="shared" si="136"/>
        <v>10</v>
      </c>
      <c r="I331" s="94">
        <f t="shared" si="136"/>
        <v>10</v>
      </c>
    </row>
    <row r="332" spans="1:9" hidden="1" x14ac:dyDescent="0.25">
      <c r="A332" s="130" t="s">
        <v>192</v>
      </c>
      <c r="B332" s="131"/>
      <c r="C332" s="132"/>
      <c r="D332" s="124" t="s">
        <v>104</v>
      </c>
      <c r="E332" s="96">
        <f>26596.96/K1</f>
        <v>3530.02</v>
      </c>
      <c r="F332" s="105">
        <v>132.72</v>
      </c>
      <c r="G332" s="105">
        <v>10</v>
      </c>
      <c r="H332" s="105">
        <v>10</v>
      </c>
      <c r="I332" s="115">
        <v>10</v>
      </c>
    </row>
    <row r="333" spans="1:9" ht="21" customHeight="1" x14ac:dyDescent="0.25">
      <c r="A333" s="169" t="s">
        <v>85</v>
      </c>
      <c r="B333" s="170"/>
      <c r="C333" s="171"/>
      <c r="D333" s="118" t="s">
        <v>152</v>
      </c>
      <c r="E333" s="91">
        <f>E334+E342+E347+E359</f>
        <v>53956.2</v>
      </c>
      <c r="F333" s="91">
        <f>F334+F342+F347+F359</f>
        <v>64461.08</v>
      </c>
      <c r="G333" s="91">
        <f>G334+G342+G347+G359</f>
        <v>114575.5</v>
      </c>
      <c r="H333" s="91">
        <f>H334+H342+H347+H359</f>
        <v>114575.5</v>
      </c>
      <c r="I333" s="91">
        <f>I334+I342+I347+I359</f>
        <v>114575.5</v>
      </c>
    </row>
    <row r="334" spans="1:9" ht="15" customHeight="1" x14ac:dyDescent="0.25">
      <c r="A334" s="166" t="s">
        <v>137</v>
      </c>
      <c r="B334" s="167"/>
      <c r="C334" s="168"/>
      <c r="D334" s="108" t="s">
        <v>40</v>
      </c>
      <c r="E334" s="92">
        <f>E335+E339</f>
        <v>0</v>
      </c>
      <c r="F334" s="92">
        <f t="shared" ref="F334:I334" si="137">F335+F339</f>
        <v>2654.46</v>
      </c>
      <c r="G334" s="92">
        <f t="shared" si="137"/>
        <v>1200</v>
      </c>
      <c r="H334" s="92">
        <f t="shared" si="137"/>
        <v>1200</v>
      </c>
      <c r="I334" s="92">
        <f t="shared" si="137"/>
        <v>1200</v>
      </c>
    </row>
    <row r="335" spans="1:9" x14ac:dyDescent="0.25">
      <c r="A335" s="157">
        <v>3</v>
      </c>
      <c r="B335" s="158"/>
      <c r="C335" s="159"/>
      <c r="D335" s="119" t="s">
        <v>22</v>
      </c>
      <c r="E335" s="93">
        <f>E336</f>
        <v>0</v>
      </c>
      <c r="F335" s="93">
        <f t="shared" ref="F335:I335" si="138">F336</f>
        <v>1327.23</v>
      </c>
      <c r="G335" s="93">
        <f t="shared" si="138"/>
        <v>1000</v>
      </c>
      <c r="H335" s="93">
        <f t="shared" si="138"/>
        <v>1000</v>
      </c>
      <c r="I335" s="93">
        <f t="shared" si="138"/>
        <v>1000</v>
      </c>
    </row>
    <row r="336" spans="1:9" x14ac:dyDescent="0.25">
      <c r="A336" s="160">
        <v>32</v>
      </c>
      <c r="B336" s="161"/>
      <c r="C336" s="162"/>
      <c r="D336" s="123" t="s">
        <v>36</v>
      </c>
      <c r="E336" s="94">
        <f>E338</f>
        <v>0</v>
      </c>
      <c r="F336" s="94">
        <f t="shared" ref="F336:I336" si="139">F338</f>
        <v>1327.23</v>
      </c>
      <c r="G336" s="94">
        <f t="shared" si="139"/>
        <v>1000</v>
      </c>
      <c r="H336" s="94">
        <f t="shared" si="139"/>
        <v>1000</v>
      </c>
      <c r="I336" s="94">
        <f t="shared" si="139"/>
        <v>1000</v>
      </c>
    </row>
    <row r="337" spans="1:10" hidden="1" x14ac:dyDescent="0.25">
      <c r="A337" s="126" t="s">
        <v>204</v>
      </c>
      <c r="B337" s="127"/>
      <c r="C337" s="128"/>
      <c r="D337" s="124" t="s">
        <v>116</v>
      </c>
      <c r="E337" s="96">
        <v>0</v>
      </c>
      <c r="F337" s="105">
        <v>0</v>
      </c>
      <c r="G337" s="105">
        <v>500</v>
      </c>
      <c r="H337" s="105">
        <v>500</v>
      </c>
      <c r="I337" s="105">
        <v>500</v>
      </c>
    </row>
    <row r="338" spans="1:10" ht="15.75" hidden="1" customHeight="1" x14ac:dyDescent="0.25">
      <c r="A338" s="163" t="s">
        <v>191</v>
      </c>
      <c r="B338" s="164"/>
      <c r="C338" s="165"/>
      <c r="D338" s="124" t="s">
        <v>83</v>
      </c>
      <c r="E338" s="96"/>
      <c r="F338" s="105">
        <v>1327.23</v>
      </c>
      <c r="G338" s="105">
        <v>1000</v>
      </c>
      <c r="H338" s="105">
        <v>1000</v>
      </c>
      <c r="I338" s="105">
        <v>1000</v>
      </c>
    </row>
    <row r="339" spans="1:10" ht="25.5" x14ac:dyDescent="0.25">
      <c r="A339" s="157">
        <v>4</v>
      </c>
      <c r="B339" s="158"/>
      <c r="C339" s="159"/>
      <c r="D339" s="119" t="s">
        <v>24</v>
      </c>
      <c r="E339" s="93">
        <f>E340</f>
        <v>0</v>
      </c>
      <c r="F339" s="93">
        <f t="shared" ref="F339:I339" si="140">F340</f>
        <v>1327.23</v>
      </c>
      <c r="G339" s="93">
        <f t="shared" si="140"/>
        <v>200</v>
      </c>
      <c r="H339" s="93">
        <f t="shared" si="140"/>
        <v>200</v>
      </c>
      <c r="I339" s="93">
        <f t="shared" si="140"/>
        <v>200</v>
      </c>
    </row>
    <row r="340" spans="1:10" ht="25.5" x14ac:dyDescent="0.25">
      <c r="A340" s="160">
        <v>42</v>
      </c>
      <c r="B340" s="161"/>
      <c r="C340" s="162"/>
      <c r="D340" s="123" t="s">
        <v>108</v>
      </c>
      <c r="E340" s="94">
        <f>E341</f>
        <v>0</v>
      </c>
      <c r="F340" s="94">
        <f t="shared" ref="F340:I340" si="141">F341</f>
        <v>1327.23</v>
      </c>
      <c r="G340" s="94">
        <f t="shared" si="141"/>
        <v>200</v>
      </c>
      <c r="H340" s="94">
        <f t="shared" si="141"/>
        <v>200</v>
      </c>
      <c r="I340" s="94">
        <f t="shared" si="141"/>
        <v>200</v>
      </c>
    </row>
    <row r="341" spans="1:10" ht="26.25" hidden="1" x14ac:dyDescent="0.25">
      <c r="A341" s="126" t="s">
        <v>195</v>
      </c>
      <c r="B341" s="127"/>
      <c r="C341" s="128"/>
      <c r="D341" s="124" t="s">
        <v>117</v>
      </c>
      <c r="E341" s="96"/>
      <c r="F341" s="105">
        <v>1327.23</v>
      </c>
      <c r="G341" s="105">
        <v>200</v>
      </c>
      <c r="H341" s="105">
        <v>200</v>
      </c>
      <c r="I341" s="105">
        <v>200</v>
      </c>
    </row>
    <row r="342" spans="1:10" ht="15" customHeight="1" x14ac:dyDescent="0.25">
      <c r="A342" s="166" t="s">
        <v>146</v>
      </c>
      <c r="B342" s="167"/>
      <c r="C342" s="168"/>
      <c r="D342" s="108" t="s">
        <v>147</v>
      </c>
      <c r="E342" s="92">
        <f>E343</f>
        <v>29532.14</v>
      </c>
      <c r="F342" s="92">
        <f t="shared" ref="F342:I342" si="142">F343</f>
        <v>28601.77</v>
      </c>
      <c r="G342" s="92">
        <f t="shared" si="142"/>
        <v>2050</v>
      </c>
      <c r="H342" s="92">
        <f t="shared" si="142"/>
        <v>2050</v>
      </c>
      <c r="I342" s="92">
        <f t="shared" si="142"/>
        <v>2050</v>
      </c>
    </row>
    <row r="343" spans="1:10" x14ac:dyDescent="0.25">
      <c r="A343" s="157">
        <v>3</v>
      </c>
      <c r="B343" s="158"/>
      <c r="C343" s="159"/>
      <c r="D343" s="119" t="s">
        <v>22</v>
      </c>
      <c r="E343" s="93">
        <f>E344</f>
        <v>29532.14</v>
      </c>
      <c r="F343" s="93">
        <f t="shared" ref="F343:I343" si="143">F344</f>
        <v>28601.77</v>
      </c>
      <c r="G343" s="93">
        <f t="shared" si="143"/>
        <v>2050</v>
      </c>
      <c r="H343" s="93">
        <f t="shared" si="143"/>
        <v>2050</v>
      </c>
      <c r="I343" s="93">
        <f t="shared" si="143"/>
        <v>2050</v>
      </c>
    </row>
    <row r="344" spans="1:10" x14ac:dyDescent="0.25">
      <c r="A344" s="160">
        <v>32</v>
      </c>
      <c r="B344" s="161"/>
      <c r="C344" s="162"/>
      <c r="D344" s="123" t="s">
        <v>36</v>
      </c>
      <c r="E344" s="94">
        <f>SUM(E345:E346)</f>
        <v>29532.14</v>
      </c>
      <c r="F344" s="94">
        <f>SUM(F345:F346)</f>
        <v>28601.77</v>
      </c>
      <c r="G344" s="94">
        <f>SUM(G345:G346)</f>
        <v>2050</v>
      </c>
      <c r="H344" s="94">
        <f>SUM(H345:H346)</f>
        <v>2050</v>
      </c>
      <c r="I344" s="94">
        <f>SUM(I345:I346)</f>
        <v>2050</v>
      </c>
      <c r="J344" s="94"/>
    </row>
    <row r="345" spans="1:10" hidden="1" x14ac:dyDescent="0.25">
      <c r="A345" s="163" t="s">
        <v>203</v>
      </c>
      <c r="B345" s="164"/>
      <c r="C345" s="165"/>
      <c r="D345" s="124" t="s">
        <v>64</v>
      </c>
      <c r="E345" s="96">
        <f>3656.85/K1</f>
        <v>485.35</v>
      </c>
      <c r="F345" s="105">
        <v>530.89</v>
      </c>
      <c r="G345" s="105">
        <v>50</v>
      </c>
      <c r="H345" s="105">
        <v>50</v>
      </c>
      <c r="I345" s="105">
        <v>50</v>
      </c>
    </row>
    <row r="346" spans="1:10" hidden="1" x14ac:dyDescent="0.25">
      <c r="A346" s="126" t="s">
        <v>204</v>
      </c>
      <c r="B346" s="127"/>
      <c r="C346" s="128"/>
      <c r="D346" s="124" t="s">
        <v>116</v>
      </c>
      <c r="E346" s="96">
        <f>218853.05/K1</f>
        <v>29046.79</v>
      </c>
      <c r="F346" s="105">
        <v>28070.880000000001</v>
      </c>
      <c r="G346" s="105">
        <v>2000</v>
      </c>
      <c r="H346" s="105">
        <v>2000</v>
      </c>
      <c r="I346" s="105">
        <v>2000</v>
      </c>
    </row>
    <row r="347" spans="1:10" ht="15" customHeight="1" x14ac:dyDescent="0.25">
      <c r="A347" s="166" t="s">
        <v>148</v>
      </c>
      <c r="B347" s="167"/>
      <c r="C347" s="168"/>
      <c r="D347" s="108" t="s">
        <v>149</v>
      </c>
      <c r="E347" s="92">
        <f>E348+E356</f>
        <v>24424.06</v>
      </c>
      <c r="F347" s="92">
        <f t="shared" ref="F347:I347" si="144">F348+F356</f>
        <v>32342.16</v>
      </c>
      <c r="G347" s="92">
        <f t="shared" si="144"/>
        <v>111325.5</v>
      </c>
      <c r="H347" s="92">
        <f t="shared" si="144"/>
        <v>111325.5</v>
      </c>
      <c r="I347" s="92">
        <f t="shared" si="144"/>
        <v>111325.5</v>
      </c>
    </row>
    <row r="348" spans="1:10" x14ac:dyDescent="0.25">
      <c r="A348" s="157">
        <v>3</v>
      </c>
      <c r="B348" s="158"/>
      <c r="C348" s="159"/>
      <c r="D348" s="119" t="s">
        <v>22</v>
      </c>
      <c r="E348" s="93">
        <f>E349</f>
        <v>22730.92</v>
      </c>
      <c r="F348" s="93">
        <f t="shared" ref="F348:I348" si="145">F349</f>
        <v>31014.93</v>
      </c>
      <c r="G348" s="93">
        <f t="shared" si="145"/>
        <v>110825.5</v>
      </c>
      <c r="H348" s="93">
        <f t="shared" si="145"/>
        <v>110825.5</v>
      </c>
      <c r="I348" s="93">
        <f t="shared" si="145"/>
        <v>110825.5</v>
      </c>
    </row>
    <row r="349" spans="1:10" x14ac:dyDescent="0.25">
      <c r="A349" s="160">
        <v>32</v>
      </c>
      <c r="B349" s="161"/>
      <c r="C349" s="162"/>
      <c r="D349" s="123" t="s">
        <v>36</v>
      </c>
      <c r="E349" s="94">
        <f>SUM(E350:E355)</f>
        <v>22730.92</v>
      </c>
      <c r="F349" s="94">
        <f t="shared" ref="F349:I349" si="146">SUM(F350:F355)</f>
        <v>31014.93</v>
      </c>
      <c r="G349" s="94">
        <f t="shared" si="146"/>
        <v>110825.5</v>
      </c>
      <c r="H349" s="94">
        <f t="shared" si="146"/>
        <v>110825.5</v>
      </c>
      <c r="I349" s="94">
        <f t="shared" si="146"/>
        <v>110825.5</v>
      </c>
    </row>
    <row r="350" spans="1:10" hidden="1" x14ac:dyDescent="0.25">
      <c r="A350" s="163" t="s">
        <v>203</v>
      </c>
      <c r="B350" s="164"/>
      <c r="C350" s="165"/>
      <c r="D350" s="124" t="s">
        <v>64</v>
      </c>
      <c r="E350" s="96">
        <f>3273.22/K1</f>
        <v>434.43</v>
      </c>
      <c r="F350" s="105">
        <v>398.17</v>
      </c>
      <c r="G350" s="105">
        <v>300</v>
      </c>
      <c r="H350" s="105">
        <v>300</v>
      </c>
      <c r="I350" s="105">
        <v>300</v>
      </c>
    </row>
    <row r="351" spans="1:10" hidden="1" x14ac:dyDescent="0.25">
      <c r="A351" s="126" t="s">
        <v>204</v>
      </c>
      <c r="B351" s="127"/>
      <c r="C351" s="128"/>
      <c r="D351" s="124" t="s">
        <v>116</v>
      </c>
      <c r="E351" s="96">
        <f>167699.64/K1</f>
        <v>22257.57</v>
      </c>
      <c r="F351" s="105">
        <v>28891.37</v>
      </c>
      <c r="G351" s="105">
        <f>183*450*1.33</f>
        <v>109525.5</v>
      </c>
      <c r="H351" s="105">
        <f>183*450*1.33</f>
        <v>109525.5</v>
      </c>
      <c r="I351" s="105">
        <f>183*450*1.33</f>
        <v>109525.5</v>
      </c>
    </row>
    <row r="352" spans="1:10" hidden="1" x14ac:dyDescent="0.25">
      <c r="A352" s="163" t="s">
        <v>190</v>
      </c>
      <c r="B352" s="164"/>
      <c r="C352" s="165"/>
      <c r="D352" s="124" t="s">
        <v>82</v>
      </c>
      <c r="E352" s="96"/>
      <c r="F352" s="105">
        <v>132.72</v>
      </c>
      <c r="G352" s="105">
        <v>200</v>
      </c>
      <c r="H352" s="105">
        <v>200</v>
      </c>
      <c r="I352" s="105">
        <v>200</v>
      </c>
    </row>
    <row r="353" spans="1:14" hidden="1" x14ac:dyDescent="0.25">
      <c r="A353" s="163" t="s">
        <v>205</v>
      </c>
      <c r="B353" s="164"/>
      <c r="C353" s="165"/>
      <c r="D353" s="124" t="s">
        <v>66</v>
      </c>
      <c r="E353" s="96">
        <f>293.21/K1</f>
        <v>38.92</v>
      </c>
      <c r="F353" s="105">
        <v>132.72</v>
      </c>
      <c r="G353" s="105">
        <v>200</v>
      </c>
      <c r="H353" s="105">
        <v>200</v>
      </c>
      <c r="I353" s="105">
        <v>200</v>
      </c>
    </row>
    <row r="354" spans="1:14" hidden="1" x14ac:dyDescent="0.25">
      <c r="A354" s="163" t="s">
        <v>191</v>
      </c>
      <c r="B354" s="164"/>
      <c r="C354" s="165"/>
      <c r="D354" s="124" t="s">
        <v>83</v>
      </c>
      <c r="E354" s="96"/>
      <c r="F354" s="105">
        <v>1327.23</v>
      </c>
      <c r="G354" s="105">
        <v>500</v>
      </c>
      <c r="H354" s="105">
        <v>500</v>
      </c>
      <c r="I354" s="105">
        <v>500</v>
      </c>
    </row>
    <row r="355" spans="1:14" hidden="1" x14ac:dyDescent="0.25">
      <c r="A355" s="163" t="s">
        <v>199</v>
      </c>
      <c r="B355" s="164"/>
      <c r="C355" s="165"/>
      <c r="D355" s="129" t="s">
        <v>207</v>
      </c>
      <c r="E355" s="96"/>
      <c r="F355" s="105">
        <v>132.72</v>
      </c>
      <c r="G355" s="105">
        <v>100</v>
      </c>
      <c r="H355" s="105">
        <v>100</v>
      </c>
      <c r="I355" s="105">
        <v>100</v>
      </c>
    </row>
    <row r="356" spans="1:14" ht="25.5" x14ac:dyDescent="0.25">
      <c r="A356" s="157">
        <v>4</v>
      </c>
      <c r="B356" s="158"/>
      <c r="C356" s="159"/>
      <c r="D356" s="119" t="s">
        <v>24</v>
      </c>
      <c r="E356" s="93">
        <f>E357</f>
        <v>1693.14</v>
      </c>
      <c r="F356" s="109">
        <f t="shared" ref="F356:I357" si="147">F357</f>
        <v>1327.23</v>
      </c>
      <c r="G356" s="93">
        <f t="shared" si="147"/>
        <v>500</v>
      </c>
      <c r="H356" s="93">
        <f t="shared" si="147"/>
        <v>500</v>
      </c>
      <c r="I356" s="93">
        <f t="shared" si="147"/>
        <v>500</v>
      </c>
    </row>
    <row r="357" spans="1:14" ht="25.5" x14ac:dyDescent="0.25">
      <c r="A357" s="160">
        <v>42</v>
      </c>
      <c r="B357" s="161"/>
      <c r="C357" s="162"/>
      <c r="D357" s="123" t="s">
        <v>108</v>
      </c>
      <c r="E357" s="94">
        <f>E358</f>
        <v>1693.14</v>
      </c>
      <c r="F357" s="106">
        <f t="shared" si="147"/>
        <v>1327.23</v>
      </c>
      <c r="G357" s="94">
        <f t="shared" si="147"/>
        <v>500</v>
      </c>
      <c r="H357" s="94">
        <f t="shared" si="147"/>
        <v>500</v>
      </c>
      <c r="I357" s="94">
        <f t="shared" si="147"/>
        <v>500</v>
      </c>
    </row>
    <row r="358" spans="1:14" ht="26.25" hidden="1" x14ac:dyDescent="0.25">
      <c r="A358" s="126" t="s">
        <v>195</v>
      </c>
      <c r="B358" s="127"/>
      <c r="C358" s="128"/>
      <c r="D358" s="124" t="s">
        <v>117</v>
      </c>
      <c r="E358" s="96">
        <f>12756.93/K1</f>
        <v>1693.14</v>
      </c>
      <c r="F358" s="105">
        <v>1327.23</v>
      </c>
      <c r="G358" s="105">
        <v>500</v>
      </c>
      <c r="H358" s="105">
        <v>500</v>
      </c>
      <c r="I358" s="115">
        <v>500</v>
      </c>
    </row>
    <row r="359" spans="1:14" ht="15" customHeight="1" x14ac:dyDescent="0.25">
      <c r="A359" s="166" t="s">
        <v>206</v>
      </c>
      <c r="B359" s="167"/>
      <c r="C359" s="168"/>
      <c r="D359" s="108" t="s">
        <v>179</v>
      </c>
      <c r="E359" s="92">
        <f>E360</f>
        <v>0</v>
      </c>
      <c r="F359" s="92">
        <f t="shared" ref="F359:I359" si="148">F360</f>
        <v>862.69</v>
      </c>
      <c r="G359" s="92">
        <f t="shared" si="148"/>
        <v>0</v>
      </c>
      <c r="H359" s="92">
        <f t="shared" si="148"/>
        <v>0</v>
      </c>
      <c r="I359" s="92">
        <f t="shared" si="148"/>
        <v>0</v>
      </c>
    </row>
    <row r="360" spans="1:14" x14ac:dyDescent="0.25">
      <c r="A360" s="157">
        <v>3</v>
      </c>
      <c r="B360" s="158"/>
      <c r="C360" s="159"/>
      <c r="D360" s="119" t="s">
        <v>22</v>
      </c>
      <c r="E360" s="93">
        <f>E361</f>
        <v>0</v>
      </c>
      <c r="F360" s="93">
        <f t="shared" ref="F360:I360" si="149">F361</f>
        <v>862.69</v>
      </c>
      <c r="G360" s="93">
        <f t="shared" si="149"/>
        <v>0</v>
      </c>
      <c r="H360" s="93">
        <f t="shared" si="149"/>
        <v>0</v>
      </c>
      <c r="I360" s="93">
        <f t="shared" si="149"/>
        <v>0</v>
      </c>
    </row>
    <row r="361" spans="1:14" x14ac:dyDescent="0.25">
      <c r="A361" s="160">
        <v>32</v>
      </c>
      <c r="B361" s="161"/>
      <c r="C361" s="162"/>
      <c r="D361" s="123" t="s">
        <v>36</v>
      </c>
      <c r="E361" s="94">
        <f>SUM(E362:E364)</f>
        <v>0</v>
      </c>
      <c r="F361" s="94">
        <f t="shared" ref="F361:I361" si="150">SUM(F362:F364)</f>
        <v>862.69</v>
      </c>
      <c r="G361" s="94">
        <f t="shared" si="150"/>
        <v>0</v>
      </c>
      <c r="H361" s="94">
        <f t="shared" si="150"/>
        <v>0</v>
      </c>
      <c r="I361" s="94">
        <f t="shared" si="150"/>
        <v>0</v>
      </c>
    </row>
    <row r="362" spans="1:14" hidden="1" x14ac:dyDescent="0.25">
      <c r="A362" s="126" t="s">
        <v>204</v>
      </c>
      <c r="B362" s="127"/>
      <c r="C362" s="128"/>
      <c r="D362" s="124" t="s">
        <v>116</v>
      </c>
      <c r="E362" s="96"/>
      <c r="F362" s="105">
        <v>663.61</v>
      </c>
      <c r="G362" s="79"/>
      <c r="H362" s="79"/>
      <c r="I362" s="80"/>
    </row>
    <row r="363" spans="1:14" hidden="1" x14ac:dyDescent="0.25">
      <c r="A363" s="163" t="s">
        <v>205</v>
      </c>
      <c r="B363" s="164"/>
      <c r="C363" s="165"/>
      <c r="D363" s="124" t="s">
        <v>66</v>
      </c>
      <c r="E363" s="96"/>
      <c r="F363" s="105">
        <v>66.36</v>
      </c>
      <c r="G363" s="79"/>
      <c r="H363" s="79"/>
      <c r="I363" s="80"/>
    </row>
    <row r="364" spans="1:14" hidden="1" x14ac:dyDescent="0.25">
      <c r="A364" s="163" t="s">
        <v>191</v>
      </c>
      <c r="B364" s="164"/>
      <c r="C364" s="165"/>
      <c r="D364" s="124" t="s">
        <v>83</v>
      </c>
      <c r="E364" s="96"/>
      <c r="F364" s="105">
        <v>132.72</v>
      </c>
      <c r="G364" s="79"/>
      <c r="H364" s="79"/>
      <c r="I364" s="80"/>
    </row>
    <row r="365" spans="1:14" ht="21" customHeight="1" x14ac:dyDescent="0.25">
      <c r="A365" s="169" t="s">
        <v>118</v>
      </c>
      <c r="B365" s="170"/>
      <c r="C365" s="171"/>
      <c r="D365" s="118" t="s">
        <v>153</v>
      </c>
      <c r="E365" s="91">
        <f>E366+E370</f>
        <v>26198.61</v>
      </c>
      <c r="F365" s="91">
        <f t="shared" ref="F365:I365" si="151">F366+F370</f>
        <v>26235.040000000001</v>
      </c>
      <c r="G365" s="91">
        <f t="shared" si="151"/>
        <v>27100</v>
      </c>
      <c r="H365" s="91">
        <f t="shared" si="151"/>
        <v>27100</v>
      </c>
      <c r="I365" s="91">
        <f t="shared" si="151"/>
        <v>27100</v>
      </c>
    </row>
    <row r="366" spans="1:14" ht="15" customHeight="1" x14ac:dyDescent="0.25">
      <c r="A366" s="166" t="s">
        <v>137</v>
      </c>
      <c r="B366" s="167"/>
      <c r="C366" s="168"/>
      <c r="D366" s="108" t="s">
        <v>40</v>
      </c>
      <c r="E366" s="92">
        <f>E367</f>
        <v>0</v>
      </c>
      <c r="F366" s="92">
        <f t="shared" ref="F366:I366" si="152">F367</f>
        <v>106.18</v>
      </c>
      <c r="G366" s="92">
        <f t="shared" si="152"/>
        <v>100</v>
      </c>
      <c r="H366" s="92">
        <f t="shared" si="152"/>
        <v>100</v>
      </c>
      <c r="I366" s="92">
        <f t="shared" si="152"/>
        <v>100</v>
      </c>
      <c r="N366" s="41"/>
    </row>
    <row r="367" spans="1:14" x14ac:dyDescent="0.25">
      <c r="A367" s="157">
        <v>3</v>
      </c>
      <c r="B367" s="158"/>
      <c r="C367" s="159"/>
      <c r="D367" s="119" t="s">
        <v>22</v>
      </c>
      <c r="E367" s="93">
        <f>E368</f>
        <v>0</v>
      </c>
      <c r="F367" s="93">
        <f t="shared" ref="F367:I367" si="153">F368</f>
        <v>106.18</v>
      </c>
      <c r="G367" s="93">
        <f t="shared" si="153"/>
        <v>100</v>
      </c>
      <c r="H367" s="93">
        <f t="shared" si="153"/>
        <v>100</v>
      </c>
      <c r="I367" s="93">
        <f t="shared" si="153"/>
        <v>100</v>
      </c>
    </row>
    <row r="368" spans="1:14" x14ac:dyDescent="0.25">
      <c r="A368" s="160">
        <v>32</v>
      </c>
      <c r="B368" s="161"/>
      <c r="C368" s="162"/>
      <c r="D368" s="123" t="s">
        <v>36</v>
      </c>
      <c r="E368" s="94">
        <f>E369</f>
        <v>0</v>
      </c>
      <c r="F368" s="94">
        <f t="shared" ref="F368:I368" si="154">F369</f>
        <v>106.18</v>
      </c>
      <c r="G368" s="94">
        <f t="shared" si="154"/>
        <v>100</v>
      </c>
      <c r="H368" s="94">
        <f t="shared" si="154"/>
        <v>100</v>
      </c>
      <c r="I368" s="94">
        <f t="shared" si="154"/>
        <v>100</v>
      </c>
    </row>
    <row r="369" spans="1:14" hidden="1" x14ac:dyDescent="0.25">
      <c r="A369" s="163" t="s">
        <v>203</v>
      </c>
      <c r="B369" s="164"/>
      <c r="C369" s="165"/>
      <c r="D369" s="124" t="s">
        <v>119</v>
      </c>
      <c r="E369" s="96"/>
      <c r="F369" s="105">
        <v>106.18</v>
      </c>
      <c r="G369" s="105">
        <v>100</v>
      </c>
      <c r="H369" s="105">
        <v>100</v>
      </c>
      <c r="I369" s="105">
        <v>100</v>
      </c>
    </row>
    <row r="370" spans="1:14" ht="15" customHeight="1" x14ac:dyDescent="0.25">
      <c r="A370" s="166" t="s">
        <v>148</v>
      </c>
      <c r="B370" s="167"/>
      <c r="C370" s="168"/>
      <c r="D370" s="108" t="s">
        <v>149</v>
      </c>
      <c r="E370" s="92">
        <f>E371+E375</f>
        <v>26198.61</v>
      </c>
      <c r="F370" s="92">
        <f t="shared" ref="F370:I370" si="155">F371+F375</f>
        <v>26128.86</v>
      </c>
      <c r="G370" s="92">
        <f t="shared" si="155"/>
        <v>27000</v>
      </c>
      <c r="H370" s="92">
        <f t="shared" si="155"/>
        <v>27000</v>
      </c>
      <c r="I370" s="92">
        <f t="shared" si="155"/>
        <v>27000</v>
      </c>
    </row>
    <row r="371" spans="1:14" x14ac:dyDescent="0.25">
      <c r="A371" s="157">
        <v>3</v>
      </c>
      <c r="B371" s="158"/>
      <c r="C371" s="159"/>
      <c r="D371" s="119" t="s">
        <v>22</v>
      </c>
      <c r="E371" s="93">
        <f>E372+E374</f>
        <v>24655.89</v>
      </c>
      <c r="F371" s="93">
        <f t="shared" ref="F371:I371" si="156">F372+F374</f>
        <v>24991.98</v>
      </c>
      <c r="G371" s="93">
        <f t="shared" si="156"/>
        <v>25000</v>
      </c>
      <c r="H371" s="93">
        <f t="shared" si="156"/>
        <v>25000</v>
      </c>
      <c r="I371" s="93">
        <f t="shared" si="156"/>
        <v>25000</v>
      </c>
    </row>
    <row r="372" spans="1:14" x14ac:dyDescent="0.25">
      <c r="A372" s="160">
        <v>32</v>
      </c>
      <c r="B372" s="161"/>
      <c r="C372" s="162"/>
      <c r="D372" s="123" t="s">
        <v>36</v>
      </c>
      <c r="E372" s="94">
        <f>E373</f>
        <v>24655.89</v>
      </c>
      <c r="F372" s="94">
        <f t="shared" ref="F372:I372" si="157">F373</f>
        <v>24991.98</v>
      </c>
      <c r="G372" s="94">
        <f t="shared" si="157"/>
        <v>25000</v>
      </c>
      <c r="H372" s="94">
        <f t="shared" si="157"/>
        <v>25000</v>
      </c>
      <c r="I372" s="94">
        <f t="shared" si="157"/>
        <v>25000</v>
      </c>
    </row>
    <row r="373" spans="1:14" hidden="1" x14ac:dyDescent="0.25">
      <c r="A373" s="163" t="s">
        <v>203</v>
      </c>
      <c r="B373" s="164"/>
      <c r="C373" s="165"/>
      <c r="D373" s="124" t="s">
        <v>119</v>
      </c>
      <c r="E373" s="96">
        <f>185769.84/K1</f>
        <v>24655.89</v>
      </c>
      <c r="F373" s="105">
        <v>24991.98</v>
      </c>
      <c r="G373" s="105">
        <v>25000</v>
      </c>
      <c r="H373" s="105">
        <v>25000</v>
      </c>
      <c r="I373" s="105">
        <v>25000</v>
      </c>
    </row>
    <row r="374" spans="1:14" x14ac:dyDescent="0.25">
      <c r="A374" s="160">
        <v>34</v>
      </c>
      <c r="B374" s="161"/>
      <c r="C374" s="162"/>
      <c r="D374" s="123" t="s">
        <v>102</v>
      </c>
      <c r="E374" s="94">
        <v>0</v>
      </c>
      <c r="F374" s="94">
        <v>0</v>
      </c>
      <c r="G374" s="94">
        <v>0</v>
      </c>
      <c r="H374" s="94">
        <v>0</v>
      </c>
      <c r="I374" s="94">
        <v>0</v>
      </c>
    </row>
    <row r="375" spans="1:14" ht="25.5" x14ac:dyDescent="0.25">
      <c r="A375" s="157">
        <v>4</v>
      </c>
      <c r="B375" s="158"/>
      <c r="C375" s="159"/>
      <c r="D375" s="119" t="s">
        <v>24</v>
      </c>
      <c r="E375" s="93">
        <f>E376</f>
        <v>1542.72</v>
      </c>
      <c r="F375" s="93">
        <f t="shared" ref="F375:I375" si="158">F376</f>
        <v>1136.8800000000001</v>
      </c>
      <c r="G375" s="93">
        <f t="shared" si="158"/>
        <v>2000</v>
      </c>
      <c r="H375" s="93">
        <f t="shared" si="158"/>
        <v>2000</v>
      </c>
      <c r="I375" s="93">
        <f t="shared" si="158"/>
        <v>2000</v>
      </c>
    </row>
    <row r="376" spans="1:14" ht="25.5" x14ac:dyDescent="0.25">
      <c r="A376" s="160">
        <v>42</v>
      </c>
      <c r="B376" s="161"/>
      <c r="C376" s="162"/>
      <c r="D376" s="123" t="s">
        <v>108</v>
      </c>
      <c r="E376" s="94">
        <f>E377</f>
        <v>1542.72</v>
      </c>
      <c r="F376" s="94">
        <f t="shared" ref="F376:I376" si="159">F377</f>
        <v>1136.8800000000001</v>
      </c>
      <c r="G376" s="94">
        <f t="shared" si="159"/>
        <v>2000</v>
      </c>
      <c r="H376" s="94">
        <f t="shared" si="159"/>
        <v>2000</v>
      </c>
      <c r="I376" s="94">
        <f t="shared" si="159"/>
        <v>2000</v>
      </c>
    </row>
    <row r="377" spans="1:14" hidden="1" x14ac:dyDescent="0.25">
      <c r="A377" s="163" t="s">
        <v>196</v>
      </c>
      <c r="B377" s="164"/>
      <c r="C377" s="165"/>
      <c r="D377" s="124" t="s">
        <v>120</v>
      </c>
      <c r="E377" s="96">
        <f>11623.61/K1</f>
        <v>1542.72</v>
      </c>
      <c r="F377" s="105">
        <v>1136.8800000000001</v>
      </c>
      <c r="G377" s="105">
        <v>2000</v>
      </c>
      <c r="H377" s="105">
        <v>2000</v>
      </c>
      <c r="I377" s="105">
        <v>2000</v>
      </c>
    </row>
    <row r="378" spans="1:14" ht="21" customHeight="1" x14ac:dyDescent="0.25">
      <c r="A378" s="169" t="s">
        <v>89</v>
      </c>
      <c r="B378" s="170"/>
      <c r="C378" s="171"/>
      <c r="D378" s="118" t="s">
        <v>266</v>
      </c>
      <c r="E378" s="91">
        <f>E379+E383</f>
        <v>0</v>
      </c>
      <c r="F378" s="91">
        <f t="shared" ref="F378:I378" si="160">F379+F383</f>
        <v>0</v>
      </c>
      <c r="G378" s="91">
        <f t="shared" si="160"/>
        <v>1250</v>
      </c>
      <c r="H378" s="91">
        <f t="shared" si="160"/>
        <v>1250</v>
      </c>
      <c r="I378" s="91">
        <f t="shared" si="160"/>
        <v>1250</v>
      </c>
    </row>
    <row r="379" spans="1:14" ht="15" customHeight="1" x14ac:dyDescent="0.25">
      <c r="A379" s="166" t="s">
        <v>137</v>
      </c>
      <c r="B379" s="167"/>
      <c r="C379" s="168"/>
      <c r="D379" s="108" t="s">
        <v>40</v>
      </c>
      <c r="E379" s="92">
        <f>E380</f>
        <v>0</v>
      </c>
      <c r="F379" s="92">
        <f t="shared" ref="F379:I381" si="161">F380</f>
        <v>0</v>
      </c>
      <c r="G379" s="92">
        <f t="shared" si="161"/>
        <v>50</v>
      </c>
      <c r="H379" s="92">
        <f t="shared" si="161"/>
        <v>50</v>
      </c>
      <c r="I379" s="92">
        <f t="shared" si="161"/>
        <v>50</v>
      </c>
      <c r="N379" s="41"/>
    </row>
    <row r="380" spans="1:14" x14ac:dyDescent="0.25">
      <c r="A380" s="157">
        <v>3</v>
      </c>
      <c r="B380" s="158"/>
      <c r="C380" s="159"/>
      <c r="D380" s="119" t="s">
        <v>22</v>
      </c>
      <c r="E380" s="93">
        <f>E381</f>
        <v>0</v>
      </c>
      <c r="F380" s="93">
        <f t="shared" si="161"/>
        <v>0</v>
      </c>
      <c r="G380" s="93">
        <f t="shared" si="161"/>
        <v>50</v>
      </c>
      <c r="H380" s="93">
        <f t="shared" si="161"/>
        <v>50</v>
      </c>
      <c r="I380" s="93">
        <f t="shared" si="161"/>
        <v>50</v>
      </c>
    </row>
    <row r="381" spans="1:14" x14ac:dyDescent="0.25">
      <c r="A381" s="160">
        <v>32</v>
      </c>
      <c r="B381" s="161"/>
      <c r="C381" s="162"/>
      <c r="D381" s="123" t="s">
        <v>36</v>
      </c>
      <c r="E381" s="94">
        <f>E382</f>
        <v>0</v>
      </c>
      <c r="F381" s="94">
        <f t="shared" si="161"/>
        <v>0</v>
      </c>
      <c r="G381" s="94">
        <f t="shared" si="161"/>
        <v>50</v>
      </c>
      <c r="H381" s="94">
        <f t="shared" si="161"/>
        <v>50</v>
      </c>
      <c r="I381" s="94">
        <f t="shared" si="161"/>
        <v>50</v>
      </c>
    </row>
    <row r="382" spans="1:14" hidden="1" x14ac:dyDescent="0.25">
      <c r="A382" s="163" t="s">
        <v>203</v>
      </c>
      <c r="B382" s="164"/>
      <c r="C382" s="165"/>
      <c r="D382" s="124" t="s">
        <v>119</v>
      </c>
      <c r="E382" s="96"/>
      <c r="F382" s="105">
        <v>0</v>
      </c>
      <c r="G382" s="105">
        <v>50</v>
      </c>
      <c r="H382" s="105">
        <v>50</v>
      </c>
      <c r="I382" s="105">
        <v>50</v>
      </c>
    </row>
    <row r="383" spans="1:14" ht="15" customHeight="1" x14ac:dyDescent="0.25">
      <c r="A383" s="166" t="s">
        <v>148</v>
      </c>
      <c r="B383" s="167"/>
      <c r="C383" s="168"/>
      <c r="D383" s="108" t="s">
        <v>149</v>
      </c>
      <c r="E383" s="92">
        <f>E384+E388</f>
        <v>0</v>
      </c>
      <c r="F383" s="92">
        <f t="shared" ref="F383:I383" si="162">F384+F388</f>
        <v>0</v>
      </c>
      <c r="G383" s="92">
        <f t="shared" si="162"/>
        <v>1200</v>
      </c>
      <c r="H383" s="92">
        <f t="shared" si="162"/>
        <v>1200</v>
      </c>
      <c r="I383" s="92">
        <f t="shared" si="162"/>
        <v>1200</v>
      </c>
    </row>
    <row r="384" spans="1:14" x14ac:dyDescent="0.25">
      <c r="A384" s="157">
        <v>3</v>
      </c>
      <c r="B384" s="158"/>
      <c r="C384" s="159"/>
      <c r="D384" s="119" t="s">
        <v>22</v>
      </c>
      <c r="E384" s="93">
        <f>E385+E387</f>
        <v>0</v>
      </c>
      <c r="F384" s="93">
        <f t="shared" ref="F384:I384" si="163">F385+F387</f>
        <v>0</v>
      </c>
      <c r="G384" s="93">
        <f t="shared" si="163"/>
        <v>1200</v>
      </c>
      <c r="H384" s="93">
        <f t="shared" si="163"/>
        <v>1200</v>
      </c>
      <c r="I384" s="93">
        <f t="shared" si="163"/>
        <v>1200</v>
      </c>
    </row>
    <row r="385" spans="1:12" x14ac:dyDescent="0.25">
      <c r="A385" s="160">
        <v>32</v>
      </c>
      <c r="B385" s="161"/>
      <c r="C385" s="162"/>
      <c r="D385" s="123" t="s">
        <v>36</v>
      </c>
      <c r="E385" s="94">
        <f>E386</f>
        <v>0</v>
      </c>
      <c r="F385" s="94">
        <f t="shared" ref="F385:I385" si="164">F386</f>
        <v>0</v>
      </c>
      <c r="G385" s="94">
        <f t="shared" si="164"/>
        <v>1200</v>
      </c>
      <c r="H385" s="94">
        <f t="shared" si="164"/>
        <v>1200</v>
      </c>
      <c r="I385" s="94">
        <f t="shared" si="164"/>
        <v>1200</v>
      </c>
    </row>
    <row r="386" spans="1:12" hidden="1" x14ac:dyDescent="0.25">
      <c r="A386" s="163" t="s">
        <v>203</v>
      </c>
      <c r="B386" s="164"/>
      <c r="C386" s="165"/>
      <c r="D386" s="124" t="s">
        <v>119</v>
      </c>
      <c r="E386" s="96">
        <v>0</v>
      </c>
      <c r="F386" s="105">
        <v>0</v>
      </c>
      <c r="G386" s="105">
        <v>1200</v>
      </c>
      <c r="H386" s="105">
        <v>1200</v>
      </c>
      <c r="I386" s="105">
        <v>1200</v>
      </c>
    </row>
    <row r="387" spans="1:12" x14ac:dyDescent="0.25">
      <c r="A387" s="160">
        <v>34</v>
      </c>
      <c r="B387" s="161"/>
      <c r="C387" s="162"/>
      <c r="D387" s="123" t="s">
        <v>102</v>
      </c>
      <c r="E387" s="94">
        <v>0</v>
      </c>
      <c r="F387" s="94">
        <v>0</v>
      </c>
      <c r="G387" s="94">
        <v>0</v>
      </c>
      <c r="H387" s="94">
        <v>0</v>
      </c>
      <c r="I387" s="94">
        <v>0</v>
      </c>
    </row>
    <row r="389" spans="1:12" x14ac:dyDescent="0.25">
      <c r="A389" s="101" t="s">
        <v>246</v>
      </c>
      <c r="B389" s="101"/>
      <c r="C389" s="101"/>
      <c r="D389" s="101"/>
      <c r="E389" s="101" t="s">
        <v>247</v>
      </c>
      <c r="F389" s="101"/>
      <c r="G389" s="101"/>
      <c r="H389" s="101" t="s">
        <v>248</v>
      </c>
      <c r="I389" s="101"/>
    </row>
    <row r="390" spans="1:12" x14ac:dyDescent="0.25">
      <c r="A390" s="101" t="s">
        <v>249</v>
      </c>
      <c r="B390" s="101"/>
      <c r="C390" s="101"/>
      <c r="D390" s="101"/>
      <c r="E390" s="101" t="s">
        <v>250</v>
      </c>
      <c r="F390" s="101"/>
      <c r="G390" s="101"/>
      <c r="H390" s="101" t="s">
        <v>251</v>
      </c>
      <c r="I390" s="101"/>
    </row>
    <row r="392" spans="1:12" hidden="1" x14ac:dyDescent="0.25"/>
    <row r="393" spans="1:12" hidden="1" x14ac:dyDescent="0.25"/>
    <row r="394" spans="1:12" hidden="1" x14ac:dyDescent="0.25"/>
    <row r="395" spans="1:12" hidden="1" x14ac:dyDescent="0.25">
      <c r="A395" s="84">
        <v>31</v>
      </c>
      <c r="D395" s="84" t="s">
        <v>23</v>
      </c>
      <c r="E395" s="41">
        <f>SUMIF($A$6:$A$388,A395,$E$6:$F$388)</f>
        <v>1071877.31</v>
      </c>
      <c r="F395" s="41">
        <f t="shared" ref="F395:F401" si="165">SUMIF($A$6:$A$388,A395,$F$6:$F$388)</f>
        <v>1096857.1299999999</v>
      </c>
      <c r="G395" s="41">
        <f t="shared" ref="G395:G401" si="166">SUMIF($A$6:$A$388,A395,$G$6:$G$388)</f>
        <v>1363834.4</v>
      </c>
      <c r="H395" s="41">
        <f t="shared" ref="H395:H401" si="167">SUMIF($A$6:$A$388,A395,$H$6:$H$388)</f>
        <v>1363834.4</v>
      </c>
      <c r="I395" s="41">
        <f t="shared" ref="I395:I401" si="168">SUMIF($A$6:$A$388,A395,$I$6:$I$388)</f>
        <v>1363834.4</v>
      </c>
      <c r="K395">
        <v>6596544.8238980798</v>
      </c>
      <c r="L395">
        <v>6619812.7095361296</v>
      </c>
    </row>
    <row r="396" spans="1:12" hidden="1" x14ac:dyDescent="0.25">
      <c r="A396" s="84">
        <v>32</v>
      </c>
      <c r="D396" s="84" t="s">
        <v>36</v>
      </c>
      <c r="E396" s="41">
        <f t="shared" ref="E396:E401" si="169">SUMIF($A$6:$A$388,A396,$E$6:$E$388)</f>
        <v>242711.43</v>
      </c>
      <c r="F396" s="41">
        <f t="shared" si="165"/>
        <v>218273.21</v>
      </c>
      <c r="G396" s="41">
        <f t="shared" si="166"/>
        <v>276588.09999999998</v>
      </c>
      <c r="H396" s="41">
        <f t="shared" si="167"/>
        <v>276588.09999999998</v>
      </c>
      <c r="I396" s="41">
        <f t="shared" si="168"/>
        <v>276588.09999999998</v>
      </c>
      <c r="K396" s="41">
        <f>I396-H396</f>
        <v>0</v>
      </c>
    </row>
    <row r="397" spans="1:12" hidden="1" x14ac:dyDescent="0.25">
      <c r="A397" s="84">
        <v>34</v>
      </c>
      <c r="D397" s="84" t="s">
        <v>102</v>
      </c>
      <c r="E397" s="41">
        <f t="shared" si="169"/>
        <v>4602.04</v>
      </c>
      <c r="F397" s="41">
        <f t="shared" si="165"/>
        <v>1420.13</v>
      </c>
      <c r="G397" s="41">
        <f t="shared" si="166"/>
        <v>1240</v>
      </c>
      <c r="H397" s="41">
        <f t="shared" si="167"/>
        <v>1240</v>
      </c>
      <c r="I397" s="41">
        <f t="shared" si="168"/>
        <v>1240</v>
      </c>
    </row>
    <row r="398" spans="1:12" hidden="1" x14ac:dyDescent="0.25">
      <c r="A398" s="84">
        <v>37</v>
      </c>
      <c r="D398" s="84" t="s">
        <v>168</v>
      </c>
      <c r="E398" s="41">
        <f t="shared" si="169"/>
        <v>3098.03</v>
      </c>
      <c r="F398" s="41">
        <f t="shared" si="165"/>
        <v>2256.29</v>
      </c>
      <c r="G398" s="41">
        <f t="shared" si="166"/>
        <v>1000</v>
      </c>
      <c r="H398" s="41">
        <f t="shared" si="167"/>
        <v>1000</v>
      </c>
      <c r="I398" s="41">
        <f t="shared" si="168"/>
        <v>1000</v>
      </c>
    </row>
    <row r="399" spans="1:12" hidden="1" x14ac:dyDescent="0.25">
      <c r="A399" s="84">
        <v>38</v>
      </c>
      <c r="D399" s="84" t="s">
        <v>107</v>
      </c>
      <c r="E399" s="41">
        <f t="shared" si="169"/>
        <v>0</v>
      </c>
      <c r="F399" s="41">
        <f t="shared" si="165"/>
        <v>0</v>
      </c>
      <c r="G399" s="41">
        <f t="shared" si="166"/>
        <v>0</v>
      </c>
      <c r="H399" s="41">
        <f t="shared" si="167"/>
        <v>0</v>
      </c>
      <c r="I399" s="41">
        <f t="shared" si="168"/>
        <v>0</v>
      </c>
    </row>
    <row r="400" spans="1:12" hidden="1" x14ac:dyDescent="0.25">
      <c r="A400" s="84">
        <v>42</v>
      </c>
      <c r="D400" s="84" t="s">
        <v>169</v>
      </c>
      <c r="E400" s="41">
        <f t="shared" si="169"/>
        <v>58339.18</v>
      </c>
      <c r="F400" s="41">
        <f t="shared" si="165"/>
        <v>6781.46</v>
      </c>
      <c r="G400" s="41">
        <f t="shared" si="166"/>
        <v>7060</v>
      </c>
      <c r="H400" s="41">
        <f t="shared" si="167"/>
        <v>7060</v>
      </c>
      <c r="I400" s="41">
        <f t="shared" si="168"/>
        <v>7060</v>
      </c>
    </row>
    <row r="401" spans="1:9" hidden="1" x14ac:dyDescent="0.25">
      <c r="A401" s="84">
        <v>45</v>
      </c>
      <c r="D401" s="84" t="s">
        <v>169</v>
      </c>
      <c r="E401" s="41">
        <f t="shared" si="169"/>
        <v>32185.279999999999</v>
      </c>
      <c r="F401" s="41">
        <f t="shared" si="165"/>
        <v>0</v>
      </c>
      <c r="G401" s="41">
        <f t="shared" si="166"/>
        <v>0</v>
      </c>
      <c r="H401" s="41">
        <f t="shared" si="167"/>
        <v>0</v>
      </c>
      <c r="I401" s="41">
        <f t="shared" si="168"/>
        <v>0</v>
      </c>
    </row>
    <row r="402" spans="1:9" hidden="1" x14ac:dyDescent="0.25">
      <c r="D402" s="86" t="s">
        <v>239</v>
      </c>
      <c r="E402" s="99">
        <f>SUM(E395:E401)</f>
        <v>1412813.27</v>
      </c>
      <c r="F402" s="99">
        <f>SUM(F395:F401)</f>
        <v>1325588.22</v>
      </c>
      <c r="G402" s="99">
        <f>SUM(G395:G401)</f>
        <v>1649722.5</v>
      </c>
      <c r="H402" s="99">
        <f>SUM(H395:H401)</f>
        <v>1649722.5</v>
      </c>
      <c r="I402" s="99">
        <f t="shared" ref="I402" si="170">SUM(I395:I401)</f>
        <v>1649722.5</v>
      </c>
    </row>
    <row r="403" spans="1:9" hidden="1" x14ac:dyDescent="0.25">
      <c r="A403" s="84" t="s">
        <v>141</v>
      </c>
      <c r="E403" s="100">
        <f t="shared" ref="E403:E413" si="171">SUMIF($A$6:$A$388,A403,$E$6:$E$388)</f>
        <v>3098.03</v>
      </c>
      <c r="F403" s="100">
        <f t="shared" ref="F403:F413" si="172">SUMIF($A$6:$A$388,A403,$F$6:$F$388)</f>
        <v>2256.29</v>
      </c>
      <c r="G403" s="100">
        <f t="shared" ref="G403:G413" si="173">SUMIF($A$6:$A$388,A403,$G$6:$G$388)</f>
        <v>1000</v>
      </c>
      <c r="H403" s="100">
        <f t="shared" ref="H403:H413" si="174">SUMIF($A$6:$A$388,A403,$H$6:$H$388)</f>
        <v>1000</v>
      </c>
      <c r="I403" s="100">
        <f t="shared" ref="I403:I413" si="175">SUMIF($A$6:$A$388,A403,$I$6:$I$388)</f>
        <v>1000</v>
      </c>
    </row>
    <row r="404" spans="1:9" hidden="1" x14ac:dyDescent="0.25">
      <c r="A404" s="84" t="s">
        <v>122</v>
      </c>
      <c r="E404" s="100">
        <f t="shared" si="171"/>
        <v>50995.29</v>
      </c>
      <c r="F404" s="100">
        <f t="shared" si="172"/>
        <v>47411.76</v>
      </c>
      <c r="G404" s="100">
        <f t="shared" si="173"/>
        <v>45990</v>
      </c>
      <c r="H404" s="100">
        <f t="shared" si="174"/>
        <v>45990</v>
      </c>
      <c r="I404" s="100">
        <f t="shared" si="175"/>
        <v>45990</v>
      </c>
    </row>
    <row r="405" spans="1:9" hidden="1" x14ac:dyDescent="0.25">
      <c r="A405" s="84" t="s">
        <v>128</v>
      </c>
      <c r="E405" s="100">
        <f t="shared" si="171"/>
        <v>141779.73000000001</v>
      </c>
      <c r="F405" s="100">
        <f t="shared" si="172"/>
        <v>8370.7099999999991</v>
      </c>
      <c r="G405" s="100">
        <f t="shared" si="173"/>
        <v>12366.6</v>
      </c>
      <c r="H405" s="100">
        <f t="shared" si="174"/>
        <v>12366.6</v>
      </c>
      <c r="I405" s="100">
        <f t="shared" si="175"/>
        <v>12366.6</v>
      </c>
    </row>
    <row r="406" spans="1:9" hidden="1" x14ac:dyDescent="0.25">
      <c r="A406" s="84" t="s">
        <v>243</v>
      </c>
      <c r="E406" s="100">
        <f t="shared" si="171"/>
        <v>32233.15</v>
      </c>
      <c r="F406" s="100">
        <f t="shared" si="172"/>
        <v>25688.74</v>
      </c>
      <c r="G406" s="100">
        <f t="shared" si="173"/>
        <v>48830.400000000001</v>
      </c>
      <c r="H406" s="100">
        <f t="shared" si="174"/>
        <v>48830.400000000001</v>
      </c>
      <c r="I406" s="100">
        <f t="shared" si="175"/>
        <v>48830.400000000001</v>
      </c>
    </row>
    <row r="407" spans="1:9" hidden="1" x14ac:dyDescent="0.25">
      <c r="A407" s="84" t="s">
        <v>137</v>
      </c>
      <c r="E407" s="100">
        <f t="shared" si="171"/>
        <v>6221.26</v>
      </c>
      <c r="F407" s="100">
        <f t="shared" si="172"/>
        <v>3238.44</v>
      </c>
      <c r="G407" s="100">
        <f t="shared" si="173"/>
        <v>6710</v>
      </c>
      <c r="H407" s="100">
        <f t="shared" si="174"/>
        <v>6710</v>
      </c>
      <c r="I407" s="100">
        <f t="shared" si="175"/>
        <v>6710</v>
      </c>
    </row>
    <row r="408" spans="1:9" hidden="1" x14ac:dyDescent="0.25">
      <c r="A408" s="84" t="s">
        <v>144</v>
      </c>
      <c r="E408" s="100">
        <f t="shared" si="171"/>
        <v>0</v>
      </c>
      <c r="F408" s="100">
        <f t="shared" si="172"/>
        <v>5339.31</v>
      </c>
      <c r="G408" s="100">
        <f t="shared" si="173"/>
        <v>0</v>
      </c>
      <c r="H408" s="100">
        <f t="shared" si="174"/>
        <v>0</v>
      </c>
      <c r="I408" s="100">
        <f t="shared" si="175"/>
        <v>0</v>
      </c>
    </row>
    <row r="409" spans="1:9" hidden="1" x14ac:dyDescent="0.25">
      <c r="A409" s="84" t="s">
        <v>146</v>
      </c>
      <c r="E409" s="100">
        <f t="shared" si="171"/>
        <v>44445.77</v>
      </c>
      <c r="F409" s="100">
        <f t="shared" si="172"/>
        <v>43065.24</v>
      </c>
      <c r="G409" s="100">
        <f t="shared" si="173"/>
        <v>21460</v>
      </c>
      <c r="H409" s="100">
        <f t="shared" si="174"/>
        <v>21460</v>
      </c>
      <c r="I409" s="100">
        <f t="shared" si="175"/>
        <v>21460</v>
      </c>
    </row>
    <row r="410" spans="1:9" hidden="1" x14ac:dyDescent="0.25">
      <c r="A410" s="84" t="s">
        <v>148</v>
      </c>
      <c r="E410" s="100">
        <f t="shared" si="171"/>
        <v>1133509.1499999999</v>
      </c>
      <c r="F410" s="100">
        <f t="shared" si="172"/>
        <v>1188824.1499999999</v>
      </c>
      <c r="G410" s="100">
        <f t="shared" si="173"/>
        <v>1512765.5</v>
      </c>
      <c r="H410" s="100">
        <f t="shared" si="174"/>
        <v>1512765.5</v>
      </c>
      <c r="I410" s="100">
        <f t="shared" si="175"/>
        <v>1512765.5</v>
      </c>
    </row>
    <row r="411" spans="1:9" hidden="1" x14ac:dyDescent="0.25">
      <c r="A411" s="84" t="s">
        <v>232</v>
      </c>
      <c r="E411" s="100">
        <f t="shared" si="171"/>
        <v>530.89</v>
      </c>
      <c r="F411" s="100">
        <f t="shared" si="172"/>
        <v>530.89</v>
      </c>
      <c r="G411" s="100">
        <f t="shared" si="173"/>
        <v>600</v>
      </c>
      <c r="H411" s="100">
        <f t="shared" si="174"/>
        <v>600</v>
      </c>
      <c r="I411" s="100">
        <f t="shared" si="175"/>
        <v>600</v>
      </c>
    </row>
    <row r="412" spans="1:9" hidden="1" x14ac:dyDescent="0.25">
      <c r="A412" s="87" t="s">
        <v>206</v>
      </c>
      <c r="E412" s="100">
        <f t="shared" si="171"/>
        <v>0</v>
      </c>
      <c r="F412" s="100">
        <f t="shared" si="172"/>
        <v>862.69</v>
      </c>
      <c r="G412" s="100">
        <f t="shared" si="173"/>
        <v>0</v>
      </c>
      <c r="H412" s="100">
        <f t="shared" si="174"/>
        <v>0</v>
      </c>
      <c r="I412" s="100">
        <f t="shared" si="175"/>
        <v>0</v>
      </c>
    </row>
    <row r="413" spans="1:9" hidden="1" x14ac:dyDescent="0.25">
      <c r="A413" s="87"/>
      <c r="E413" s="100">
        <f t="shared" si="171"/>
        <v>0</v>
      </c>
      <c r="F413" s="100">
        <f t="shared" si="172"/>
        <v>0</v>
      </c>
      <c r="G413" s="100">
        <f t="shared" si="173"/>
        <v>0</v>
      </c>
      <c r="H413" s="100">
        <f t="shared" si="174"/>
        <v>0</v>
      </c>
      <c r="I413" s="100">
        <f t="shared" si="175"/>
        <v>0</v>
      </c>
    </row>
    <row r="414" spans="1:9" hidden="1" x14ac:dyDescent="0.25">
      <c r="E414" s="101"/>
      <c r="G414" s="85">
        <v>0</v>
      </c>
      <c r="H414" s="85">
        <v>0</v>
      </c>
      <c r="I414" s="85">
        <v>0</v>
      </c>
    </row>
    <row r="415" spans="1:9" hidden="1" x14ac:dyDescent="0.25">
      <c r="D415" s="86" t="s">
        <v>240</v>
      </c>
      <c r="E415" s="99">
        <f>SUM(E403:E413)</f>
        <v>1412813.27</v>
      </c>
      <c r="F415" s="99">
        <f>SUM(F403:F414)</f>
        <v>1325588.22</v>
      </c>
      <c r="G415" s="99">
        <f t="shared" ref="G415:I415" si="176">SUM(G403:G414)</f>
        <v>1649722.5</v>
      </c>
      <c r="H415" s="99">
        <f t="shared" si="176"/>
        <v>1649722.5</v>
      </c>
      <c r="I415" s="99">
        <f t="shared" si="176"/>
        <v>1649722.5</v>
      </c>
    </row>
    <row r="416" spans="1:9" hidden="1" x14ac:dyDescent="0.25">
      <c r="G416" s="85"/>
    </row>
    <row r="417" spans="1:7" hidden="1" x14ac:dyDescent="0.25">
      <c r="G417" s="85"/>
    </row>
    <row r="418" spans="1:7" hidden="1" x14ac:dyDescent="0.25">
      <c r="A418" s="84" t="s">
        <v>141</v>
      </c>
      <c r="D418" s="84" t="s">
        <v>23</v>
      </c>
      <c r="E418" s="85">
        <v>0</v>
      </c>
      <c r="F418" s="85"/>
      <c r="G418" s="85"/>
    </row>
    <row r="419" spans="1:7" hidden="1" x14ac:dyDescent="0.25">
      <c r="A419" s="84" t="s">
        <v>141</v>
      </c>
      <c r="D419" s="84" t="s">
        <v>36</v>
      </c>
      <c r="E419" s="85">
        <v>0</v>
      </c>
      <c r="G419" s="85"/>
    </row>
    <row r="420" spans="1:7" hidden="1" x14ac:dyDescent="0.25">
      <c r="A420" s="84" t="s">
        <v>141</v>
      </c>
      <c r="D420" s="84" t="s">
        <v>102</v>
      </c>
      <c r="E420" s="85">
        <v>0</v>
      </c>
      <c r="G420" s="85"/>
    </row>
    <row r="421" spans="1:7" hidden="1" x14ac:dyDescent="0.25">
      <c r="A421" s="84" t="s">
        <v>141</v>
      </c>
      <c r="D421" s="84" t="s">
        <v>168</v>
      </c>
      <c r="E421" s="85">
        <v>0</v>
      </c>
    </row>
    <row r="422" spans="1:7" hidden="1" x14ac:dyDescent="0.25">
      <c r="A422" s="84" t="s">
        <v>141</v>
      </c>
      <c r="D422" s="84" t="s">
        <v>107</v>
      </c>
      <c r="E422" s="85">
        <v>0</v>
      </c>
    </row>
    <row r="423" spans="1:7" hidden="1" x14ac:dyDescent="0.25">
      <c r="A423" s="84" t="s">
        <v>141</v>
      </c>
      <c r="D423" s="84" t="s">
        <v>169</v>
      </c>
      <c r="E423" s="85">
        <v>0</v>
      </c>
    </row>
    <row r="424" spans="1:7" hidden="1" x14ac:dyDescent="0.25">
      <c r="E424" s="85"/>
    </row>
    <row r="425" spans="1:7" hidden="1" x14ac:dyDescent="0.25">
      <c r="A425" s="84" t="s">
        <v>122</v>
      </c>
      <c r="D425" s="84" t="s">
        <v>23</v>
      </c>
      <c r="E425" s="85">
        <v>0</v>
      </c>
    </row>
    <row r="426" spans="1:7" hidden="1" x14ac:dyDescent="0.25">
      <c r="A426" s="84" t="s">
        <v>122</v>
      </c>
      <c r="D426" s="84" t="s">
        <v>36</v>
      </c>
      <c r="E426" s="85">
        <v>0</v>
      </c>
    </row>
    <row r="427" spans="1:7" hidden="1" x14ac:dyDescent="0.25">
      <c r="A427" s="84" t="s">
        <v>122</v>
      </c>
      <c r="D427" s="84" t="s">
        <v>102</v>
      </c>
      <c r="E427" s="85">
        <v>0</v>
      </c>
    </row>
    <row r="428" spans="1:7" hidden="1" x14ac:dyDescent="0.25">
      <c r="A428" s="84" t="s">
        <v>122</v>
      </c>
      <c r="D428" s="84" t="s">
        <v>168</v>
      </c>
      <c r="E428" s="85">
        <v>0</v>
      </c>
    </row>
    <row r="429" spans="1:7" hidden="1" x14ac:dyDescent="0.25">
      <c r="A429" s="84" t="s">
        <v>122</v>
      </c>
      <c r="D429" s="84" t="s">
        <v>107</v>
      </c>
      <c r="E429" s="85">
        <v>0</v>
      </c>
    </row>
    <row r="430" spans="1:7" hidden="1" x14ac:dyDescent="0.25">
      <c r="A430" s="84" t="s">
        <v>122</v>
      </c>
      <c r="D430" s="84" t="s">
        <v>169</v>
      </c>
      <c r="E430" s="85">
        <v>0</v>
      </c>
    </row>
    <row r="431" spans="1:7" hidden="1" x14ac:dyDescent="0.25">
      <c r="E431" s="85"/>
    </row>
    <row r="432" spans="1:7" hidden="1" x14ac:dyDescent="0.25"/>
  </sheetData>
  <autoFilter ref="A5:I387">
    <filterColumn colId="0" showButton="0"/>
    <filterColumn colId="1" showButton="0"/>
  </autoFilter>
  <mergeCells count="375">
    <mergeCell ref="A189:C189"/>
    <mergeCell ref="A190:C190"/>
    <mergeCell ref="A191:C191"/>
    <mergeCell ref="A192:C192"/>
    <mergeCell ref="A193:C193"/>
    <mergeCell ref="A248:C248"/>
    <mergeCell ref="A249:C249"/>
    <mergeCell ref="A250:C250"/>
    <mergeCell ref="A240:C240"/>
    <mergeCell ref="A241:C241"/>
    <mergeCell ref="A224:C224"/>
    <mergeCell ref="A225:C225"/>
    <mergeCell ref="A198:C198"/>
    <mergeCell ref="A199:C199"/>
    <mergeCell ref="A202:C202"/>
    <mergeCell ref="A203:C203"/>
    <mergeCell ref="A204:C204"/>
    <mergeCell ref="A201:C201"/>
    <mergeCell ref="A221:C221"/>
    <mergeCell ref="A222:C222"/>
    <mergeCell ref="A223:C223"/>
    <mergeCell ref="A200:C200"/>
    <mergeCell ref="A206:C206"/>
    <mergeCell ref="A207:C207"/>
    <mergeCell ref="A282:C282"/>
    <mergeCell ref="A226:C226"/>
    <mergeCell ref="A227:C227"/>
    <mergeCell ref="A229:C229"/>
    <mergeCell ref="A231:C231"/>
    <mergeCell ref="A233:C233"/>
    <mergeCell ref="A234:C234"/>
    <mergeCell ref="A237:C237"/>
    <mergeCell ref="A238:C238"/>
    <mergeCell ref="A239:C239"/>
    <mergeCell ref="A242:C242"/>
    <mergeCell ref="A251:C251"/>
    <mergeCell ref="A252:C252"/>
    <mergeCell ref="A253:C253"/>
    <mergeCell ref="A254:C254"/>
    <mergeCell ref="A255:C255"/>
    <mergeCell ref="A259:C259"/>
    <mergeCell ref="A261:C261"/>
    <mergeCell ref="A263:C263"/>
    <mergeCell ref="A264:C264"/>
    <mergeCell ref="A265:C265"/>
    <mergeCell ref="A280:C280"/>
    <mergeCell ref="A281:C281"/>
    <mergeCell ref="A157:C157"/>
    <mergeCell ref="A158:C158"/>
    <mergeCell ref="A159:C159"/>
    <mergeCell ref="A160:C160"/>
    <mergeCell ref="A161:C161"/>
    <mergeCell ref="A162:C162"/>
    <mergeCell ref="A163:C163"/>
    <mergeCell ref="A164:C164"/>
    <mergeCell ref="A174:C174"/>
    <mergeCell ref="A165:C165"/>
    <mergeCell ref="A166:C166"/>
    <mergeCell ref="A167:C167"/>
    <mergeCell ref="A168:C168"/>
    <mergeCell ref="A169:C169"/>
    <mergeCell ref="A170:C170"/>
    <mergeCell ref="A171:C171"/>
    <mergeCell ref="A172:C172"/>
    <mergeCell ref="A173:C173"/>
    <mergeCell ref="A208:C208"/>
    <mergeCell ref="A209:C209"/>
    <mergeCell ref="A210:C210"/>
    <mergeCell ref="A220:C220"/>
    <mergeCell ref="A359:C359"/>
    <mergeCell ref="A360:C360"/>
    <mergeCell ref="A361:C361"/>
    <mergeCell ref="A181:C181"/>
    <mergeCell ref="A230:C230"/>
    <mergeCell ref="A211:C211"/>
    <mergeCell ref="A212:C212"/>
    <mergeCell ref="A213:C213"/>
    <mergeCell ref="A214:C214"/>
    <mergeCell ref="A336:C336"/>
    <mergeCell ref="A335:C335"/>
    <mergeCell ref="A319:C319"/>
    <mergeCell ref="A320:C320"/>
    <mergeCell ref="A326:C326"/>
    <mergeCell ref="A331:C331"/>
    <mergeCell ref="A205:C205"/>
    <mergeCell ref="A324:C324"/>
    <mergeCell ref="A325:C325"/>
    <mergeCell ref="A328:C328"/>
    <mergeCell ref="A327:C327"/>
    <mergeCell ref="A18:C18"/>
    <mergeCell ref="A19:C19"/>
    <mergeCell ref="A1:I1"/>
    <mergeCell ref="A3:I3"/>
    <mergeCell ref="A5:C5"/>
    <mergeCell ref="A20:C20"/>
    <mergeCell ref="A21:C21"/>
    <mergeCell ref="A22:C22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48:C48"/>
    <mergeCell ref="A49:C49"/>
    <mergeCell ref="A72:C72"/>
    <mergeCell ref="A73:C73"/>
    <mergeCell ref="A99:C99"/>
    <mergeCell ref="A100:C100"/>
    <mergeCell ref="A58:C58"/>
    <mergeCell ref="A194:C194"/>
    <mergeCell ref="A64:C64"/>
    <mergeCell ref="A65:C65"/>
    <mergeCell ref="A66:C66"/>
    <mergeCell ref="A67:C67"/>
    <mergeCell ref="A70:C70"/>
    <mergeCell ref="A71:C71"/>
    <mergeCell ref="A68:C68"/>
    <mergeCell ref="A69:C69"/>
    <mergeCell ref="A59:C59"/>
    <mergeCell ref="A60:C60"/>
    <mergeCell ref="A61:C61"/>
    <mergeCell ref="A115:C115"/>
    <mergeCell ref="A75:C75"/>
    <mergeCell ref="A76:C76"/>
    <mergeCell ref="A77:C77"/>
    <mergeCell ref="A78:C78"/>
    <mergeCell ref="A114:C114"/>
    <mergeCell ref="A79:C79"/>
    <mergeCell ref="A116:C116"/>
    <mergeCell ref="A175:C175"/>
    <mergeCell ref="A176:C176"/>
    <mergeCell ref="A117:C117"/>
    <mergeCell ref="A133:C133"/>
    <mergeCell ref="A134:C134"/>
    <mergeCell ref="A135:C135"/>
    <mergeCell ref="A137:C137"/>
    <mergeCell ref="A138:C138"/>
    <mergeCell ref="A139:C139"/>
    <mergeCell ref="A140:C140"/>
    <mergeCell ref="A141:C141"/>
    <mergeCell ref="A142:C142"/>
    <mergeCell ref="A143:C143"/>
    <mergeCell ref="A144:C144"/>
    <mergeCell ref="A145:C145"/>
    <mergeCell ref="A155:C155"/>
    <mergeCell ref="A146:C146"/>
    <mergeCell ref="A147:C147"/>
    <mergeCell ref="A101:C101"/>
    <mergeCell ref="A102:C102"/>
    <mergeCell ref="A156:C156"/>
    <mergeCell ref="A179:C179"/>
    <mergeCell ref="A180:C180"/>
    <mergeCell ref="A81:C81"/>
    <mergeCell ref="A82:C82"/>
    <mergeCell ref="A235:C235"/>
    <mergeCell ref="A84:C84"/>
    <mergeCell ref="A86:C86"/>
    <mergeCell ref="A236:C236"/>
    <mergeCell ref="A92:C92"/>
    <mergeCell ref="A217:C217"/>
    <mergeCell ref="A218:C218"/>
    <mergeCell ref="A219:C219"/>
    <mergeCell ref="A215:C215"/>
    <mergeCell ref="A216:C216"/>
    <mergeCell ref="A195:C195"/>
    <mergeCell ref="A196:C196"/>
    <mergeCell ref="A197:C197"/>
    <mergeCell ref="A188:C188"/>
    <mergeCell ref="A127:C127"/>
    <mergeCell ref="A128:C128"/>
    <mergeCell ref="A129:C129"/>
    <mergeCell ref="A130:C130"/>
    <mergeCell ref="A131:C131"/>
    <mergeCell ref="A132:C132"/>
    <mergeCell ref="A329:C329"/>
    <mergeCell ref="A356:C356"/>
    <mergeCell ref="A357:C357"/>
    <mergeCell ref="A342:C342"/>
    <mergeCell ref="A343:C343"/>
    <mergeCell ref="A344:C344"/>
    <mergeCell ref="A347:C347"/>
    <mergeCell ref="A355:C355"/>
    <mergeCell ref="A354:C354"/>
    <mergeCell ref="A340:C340"/>
    <mergeCell ref="A338:C338"/>
    <mergeCell ref="A345:C345"/>
    <mergeCell ref="A350:C350"/>
    <mergeCell ref="A352:C352"/>
    <mergeCell ref="A353:C353"/>
    <mergeCell ref="A23:C23"/>
    <mergeCell ref="A24:C24"/>
    <mergeCell ref="A26:C26"/>
    <mergeCell ref="A27:C27"/>
    <mergeCell ref="A28:C28"/>
    <mergeCell ref="A29:C29"/>
    <mergeCell ref="A30:C30"/>
    <mergeCell ref="A31:C31"/>
    <mergeCell ref="A41:C41"/>
    <mergeCell ref="A25:C25"/>
    <mergeCell ref="A62:C62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55:C55"/>
    <mergeCell ref="A56:C56"/>
    <mergeCell ref="A57:C57"/>
    <mergeCell ref="A42:C42"/>
    <mergeCell ref="A50:C50"/>
    <mergeCell ref="A52:C52"/>
    <mergeCell ref="A53:C53"/>
    <mergeCell ref="A54:C54"/>
    <mergeCell ref="A44:C44"/>
    <mergeCell ref="A45:C45"/>
    <mergeCell ref="A46:C46"/>
    <mergeCell ref="A47:C47"/>
    <mergeCell ref="A51:C51"/>
    <mergeCell ref="A43:C43"/>
    <mergeCell ref="A74:C74"/>
    <mergeCell ref="A103:C103"/>
    <mergeCell ref="A104:C104"/>
    <mergeCell ref="A107:C107"/>
    <mergeCell ref="A108:C108"/>
    <mergeCell ref="A105:C105"/>
    <mergeCell ref="A112:C112"/>
    <mergeCell ref="A113:C113"/>
    <mergeCell ref="A111:C111"/>
    <mergeCell ref="A93:C93"/>
    <mergeCell ref="A94:C94"/>
    <mergeCell ref="A95:C95"/>
    <mergeCell ref="A96:C96"/>
    <mergeCell ref="A97:C97"/>
    <mergeCell ref="A98:C98"/>
    <mergeCell ref="A89:C89"/>
    <mergeCell ref="A90:C90"/>
    <mergeCell ref="A91:C91"/>
    <mergeCell ref="A106:C106"/>
    <mergeCell ref="A109:C109"/>
    <mergeCell ref="A110:C110"/>
    <mergeCell ref="A283:C283"/>
    <mergeCell ref="A279:C279"/>
    <mergeCell ref="A246:C246"/>
    <mergeCell ref="A247:C247"/>
    <mergeCell ref="A278:C278"/>
    <mergeCell ref="A244:C244"/>
    <mergeCell ref="A245:C245"/>
    <mergeCell ref="A243:C243"/>
    <mergeCell ref="A275:C275"/>
    <mergeCell ref="A276:C276"/>
    <mergeCell ref="A277:C277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62:C262"/>
    <mergeCell ref="A256:C256"/>
    <mergeCell ref="A257:C257"/>
    <mergeCell ref="A260:C260"/>
    <mergeCell ref="A284:C284"/>
    <mergeCell ref="A288:C288"/>
    <mergeCell ref="A289:C289"/>
    <mergeCell ref="A291:C291"/>
    <mergeCell ref="A292:C292"/>
    <mergeCell ref="A293:C293"/>
    <mergeCell ref="A294:C294"/>
    <mergeCell ref="A295:C295"/>
    <mergeCell ref="A285:C285"/>
    <mergeCell ref="A286:C286"/>
    <mergeCell ref="A287:C287"/>
    <mergeCell ref="A307:C307"/>
    <mergeCell ref="A304:C304"/>
    <mergeCell ref="A305:C305"/>
    <mergeCell ref="A306:C306"/>
    <mergeCell ref="A311:C311"/>
    <mergeCell ref="A313:C313"/>
    <mergeCell ref="A317:C317"/>
    <mergeCell ref="A322:C322"/>
    <mergeCell ref="A316:C316"/>
    <mergeCell ref="A318:C318"/>
    <mergeCell ref="A309:C309"/>
    <mergeCell ref="A310:C310"/>
    <mergeCell ref="A314:C314"/>
    <mergeCell ref="A315:C315"/>
    <mergeCell ref="A321:C321"/>
    <mergeCell ref="A308:C308"/>
    <mergeCell ref="A312:C312"/>
    <mergeCell ref="A63:C63"/>
    <mergeCell ref="A177:C177"/>
    <mergeCell ref="A178:C178"/>
    <mergeCell ref="A182:C182"/>
    <mergeCell ref="A183:C183"/>
    <mergeCell ref="A184:C184"/>
    <mergeCell ref="A185:C185"/>
    <mergeCell ref="A186:C186"/>
    <mergeCell ref="A187:C187"/>
    <mergeCell ref="A80:C80"/>
    <mergeCell ref="A83:C83"/>
    <mergeCell ref="A85:C85"/>
    <mergeCell ref="A87:C87"/>
    <mergeCell ref="A88:C88"/>
    <mergeCell ref="A118:C118"/>
    <mergeCell ref="A119:C119"/>
    <mergeCell ref="A120:C120"/>
    <mergeCell ref="A121:C121"/>
    <mergeCell ref="A122:C122"/>
    <mergeCell ref="A123:C123"/>
    <mergeCell ref="A124:C124"/>
    <mergeCell ref="A125:C125"/>
    <mergeCell ref="A126:C126"/>
    <mergeCell ref="A136:C136"/>
    <mergeCell ref="A148:C148"/>
    <mergeCell ref="A149:C149"/>
    <mergeCell ref="A150:C150"/>
    <mergeCell ref="A151:C151"/>
    <mergeCell ref="A152:C152"/>
    <mergeCell ref="A153:C153"/>
    <mergeCell ref="A154:C154"/>
    <mergeCell ref="A378:C378"/>
    <mergeCell ref="A379:C379"/>
    <mergeCell ref="A363:C363"/>
    <mergeCell ref="A364:C364"/>
    <mergeCell ref="A369:C369"/>
    <mergeCell ref="A373:C373"/>
    <mergeCell ref="A377:C377"/>
    <mergeCell ref="A323:C323"/>
    <mergeCell ref="A348:C348"/>
    <mergeCell ref="A349:C349"/>
    <mergeCell ref="A334:C334"/>
    <mergeCell ref="A333:C333"/>
    <mergeCell ref="A375:C375"/>
    <mergeCell ref="A376:C376"/>
    <mergeCell ref="A370:C370"/>
    <mergeCell ref="A371:C371"/>
    <mergeCell ref="A372:C372"/>
    <mergeCell ref="A380:C380"/>
    <mergeCell ref="A381:C381"/>
    <mergeCell ref="A382:C382"/>
    <mergeCell ref="A383:C383"/>
    <mergeCell ref="A384:C384"/>
    <mergeCell ref="A385:C385"/>
    <mergeCell ref="A386:C386"/>
    <mergeCell ref="A387:C387"/>
    <mergeCell ref="A228:C228"/>
    <mergeCell ref="A290:C290"/>
    <mergeCell ref="A374:C374"/>
    <mergeCell ref="A365:C365"/>
    <mergeCell ref="A366:C366"/>
    <mergeCell ref="A367:C367"/>
    <mergeCell ref="A368:C368"/>
    <mergeCell ref="A339:C339"/>
    <mergeCell ref="A296:C296"/>
    <mergeCell ref="A297:C297"/>
    <mergeCell ref="A298:C298"/>
    <mergeCell ref="A299:C299"/>
    <mergeCell ref="A300:C300"/>
    <mergeCell ref="A301:C301"/>
    <mergeCell ref="A302:C302"/>
    <mergeCell ref="A303:C30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3" manualBreakCount="3">
    <brk id="220" max="8" man="1"/>
    <brk id="331" max="8" man="1"/>
    <brk id="391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SAŽETAK EUR</vt:lpstr>
      <vt:lpstr> Račun prihoda i rashoda</vt:lpstr>
      <vt:lpstr>Rashodi prema funkcijskoj kl</vt:lpstr>
      <vt:lpstr>Račun financiranja</vt:lpstr>
      <vt:lpstr>POSEBNI DIO</vt:lpstr>
      <vt:lpstr>' Račun prihoda i rashoda'!Podrucje_ispisa</vt:lpstr>
      <vt:lpstr>'POSEBNI DIO'!Podrucje_ispisa</vt:lpstr>
      <vt:lpstr>'Račun financiranja'!Podrucje_ispisa</vt:lpstr>
      <vt:lpstr>'Rashodi prema funkcijskoj kl'!Podrucje_ispisa</vt:lpstr>
      <vt:lpstr>'SAŽETAK EUR'!Podrucje_ispisa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Katarina</cp:lastModifiedBy>
  <cp:lastPrinted>2023-10-12T07:18:49Z</cp:lastPrinted>
  <dcterms:created xsi:type="dcterms:W3CDTF">2022-08-12T12:51:27Z</dcterms:created>
  <dcterms:modified xsi:type="dcterms:W3CDTF">2023-10-12T08:02:25Z</dcterms:modified>
</cp:coreProperties>
</file>