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tarina\Desktop\Jednostavna nabava\Plan nabave 2023\"/>
    </mc:Choice>
  </mc:AlternateContent>
  <bookViews>
    <workbookView xWindow="0" yWindow="45" windowWidth="15195" windowHeight="8445"/>
  </bookViews>
  <sheets>
    <sheet name="3.izmjena plana 12-23" sheetId="10" r:id="rId1"/>
  </sheets>
  <definedNames>
    <definedName name="_xlnm.Print_Area" localSheetId="0">'3.izmjena plana 12-23'!$A$1:$P$132</definedName>
  </definedNames>
  <calcPr calcId="162913"/>
</workbook>
</file>

<file path=xl/calcChain.xml><?xml version="1.0" encoding="utf-8"?>
<calcChain xmlns="http://schemas.openxmlformats.org/spreadsheetml/2006/main">
  <c r="I127" i="10" l="1"/>
  <c r="I124" i="10"/>
  <c r="I123" i="10"/>
  <c r="I118" i="10"/>
  <c r="I114" i="10"/>
  <c r="I112" i="10"/>
  <c r="I108" i="10" s="1"/>
  <c r="I111" i="10"/>
  <c r="I110" i="10"/>
  <c r="I109" i="10"/>
  <c r="I106" i="10"/>
  <c r="I105" i="10"/>
  <c r="I104" i="10"/>
  <c r="I100" i="10"/>
  <c r="I102" i="10"/>
  <c r="I101" i="10"/>
  <c r="I97" i="10" l="1"/>
  <c r="P97" i="10" s="1"/>
  <c r="I99" i="10"/>
  <c r="I96" i="10"/>
  <c r="P96" i="10" s="1"/>
  <c r="I93" i="10"/>
  <c r="I87" i="10"/>
  <c r="I91" i="10"/>
  <c r="I90" i="10"/>
  <c r="P92" i="10"/>
  <c r="I89" i="10"/>
  <c r="I88" i="10"/>
  <c r="P88" i="10" s="1"/>
  <c r="I78" i="10"/>
  <c r="I73" i="10"/>
  <c r="I69" i="10" s="1"/>
  <c r="I68" i="10"/>
  <c r="I63" i="10"/>
  <c r="I64" i="10"/>
  <c r="I65" i="10"/>
  <c r="I66" i="10"/>
  <c r="I57" i="10"/>
  <c r="I54" i="10"/>
  <c r="P54" i="10" s="1"/>
  <c r="I62" i="10"/>
  <c r="I52" i="10"/>
  <c r="I51" i="10"/>
  <c r="I50" i="10"/>
  <c r="P50" i="10" s="1"/>
  <c r="I46" i="10"/>
  <c r="I49" i="10"/>
  <c r="I48" i="10"/>
  <c r="I47" i="10"/>
  <c r="P47" i="10" s="1"/>
  <c r="I38" i="10"/>
  <c r="I44" i="10"/>
  <c r="I37" i="10"/>
  <c r="I36" i="10"/>
  <c r="I35" i="10"/>
  <c r="I34" i="10"/>
  <c r="P34" i="10" s="1"/>
  <c r="I33" i="10"/>
  <c r="I32" i="10"/>
  <c r="I25" i="10"/>
  <c r="I22" i="10"/>
  <c r="I19" i="10"/>
  <c r="I20" i="10"/>
  <c r="I18" i="10"/>
  <c r="I23" i="10"/>
  <c r="I15" i="10" s="1"/>
  <c r="P15" i="10" s="1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5" i="10"/>
  <c r="P94" i="10"/>
  <c r="P93" i="10"/>
  <c r="P91" i="10"/>
  <c r="P90" i="10"/>
  <c r="P89" i="10"/>
  <c r="P87" i="10"/>
  <c r="P86" i="10"/>
  <c r="P85" i="10"/>
  <c r="P84" i="10"/>
  <c r="P83" i="10"/>
  <c r="P82" i="10"/>
  <c r="P81" i="10"/>
  <c r="P80" i="10"/>
  <c r="P79" i="10"/>
  <c r="P77" i="10"/>
  <c r="P76" i="10"/>
  <c r="P75" i="10"/>
  <c r="P74" i="10"/>
  <c r="P72" i="10"/>
  <c r="P71" i="10"/>
  <c r="P70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3" i="10"/>
  <c r="P52" i="10"/>
  <c r="P51" i="10"/>
  <c r="P48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3" i="10"/>
  <c r="P32" i="10"/>
  <c r="P31" i="10"/>
  <c r="P30" i="10"/>
  <c r="P29" i="10"/>
  <c r="P28" i="10"/>
  <c r="P27" i="10"/>
  <c r="P26" i="10"/>
  <c r="P25" i="10"/>
  <c r="P22" i="10"/>
  <c r="P21" i="10"/>
  <c r="P20" i="10"/>
  <c r="P19" i="10"/>
  <c r="P18" i="10"/>
  <c r="P17" i="10"/>
  <c r="P16" i="10"/>
  <c r="P14" i="10"/>
  <c r="P13" i="10"/>
  <c r="I13" i="10"/>
  <c r="H73" i="10"/>
  <c r="G73" i="10"/>
  <c r="F73" i="10"/>
  <c r="H69" i="10"/>
  <c r="H127" i="10" s="1"/>
  <c r="G69" i="10"/>
  <c r="G127" i="10" s="1"/>
  <c r="G128" i="10" s="1"/>
  <c r="F69" i="10"/>
  <c r="F127" i="10" s="1"/>
  <c r="P73" i="10" l="1"/>
  <c r="P69" i="10"/>
  <c r="P78" i="10"/>
  <c r="P49" i="10"/>
  <c r="I24" i="10"/>
  <c r="P24" i="10" s="1"/>
  <c r="P23" i="10"/>
  <c r="H128" i="10"/>
  <c r="F128" i="10"/>
  <c r="P127" i="10" l="1"/>
  <c r="P128" i="10" s="1"/>
  <c r="I128" i="10" l="1"/>
</calcChain>
</file>

<file path=xl/sharedStrings.xml><?xml version="1.0" encoding="utf-8"?>
<sst xmlns="http://schemas.openxmlformats.org/spreadsheetml/2006/main" count="235" uniqueCount="203">
  <si>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</si>
  <si>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</si>
  <si>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</si>
  <si>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</si>
  <si>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</si>
  <si>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</si>
  <si>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</si>
  <si>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</si>
  <si>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</si>
  <si>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</si>
  <si>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</si>
  <si>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</si>
  <si>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</si>
  <si>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</si>
  <si>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</si>
  <si>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</si>
  <si>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</si>
  <si>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</si>
  <si>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</si>
  <si>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</si>
  <si>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</si>
  <si>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</si>
  <si>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</si>
  <si>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</si>
  <si>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</si>
  <si>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</si>
  <si>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</si>
  <si>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</si>
  <si>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</si>
  <si>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</si>
  <si>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</si>
  <si>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</si>
  <si>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</si>
  <si>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</si>
  <si>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</si>
  <si>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</si>
  <si>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</si>
  <si>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</si>
  <si>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</si>
  <si>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</si>
  <si>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</si>
  <si>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</si>
  <si>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</si>
  <si>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</si>
  <si>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</si>
  <si>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</si>
  <si>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</si>
  <si>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</si>
  <si>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</si>
  <si>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</si>
  <si>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</si>
  <si>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</si>
  <si>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</si>
  <si>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</si>
  <si>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</si>
  <si>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</si>
  <si>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</si>
  <si>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</si>
  <si>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</si>
  <si>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</si>
  <si>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</si>
  <si>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</si>
  <si>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</si>
  <si>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</si>
  <si>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</si>
  <si>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</si>
  <si>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</si>
  <si>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</si>
  <si>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</si>
  <si>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ostale  usluge</t>
  </si>
  <si>
    <t>Usluge banaka i pl. prometa</t>
  </si>
  <si>
    <t>OSNOVNA ŠKOLA ĐURE DEŽELIĆA IVANIĆ-GRAD</t>
  </si>
  <si>
    <t>Ravnatelj:                                         Predsjednica Školskog odbora: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</si>
  <si>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</si>
  <si>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</si>
  <si>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</si>
  <si>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</si>
  <si>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</si>
  <si>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</si>
  <si>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</si>
  <si>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</si>
  <si>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</si>
  <si>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</si>
  <si>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</si>
  <si>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</si>
  <si>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</si>
  <si>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</si>
  <si>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</si>
  <si>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</si>
  <si>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</si>
  <si>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</si>
  <si>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</si>
  <si>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</si>
  <si>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</si>
  <si>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</si>
  <si>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</si>
  <si>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</si>
  <si>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</si>
  <si>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</si>
  <si>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</si>
  <si>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</si>
  <si>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</si>
  <si>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</si>
  <si>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</si>
  <si>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</si>
  <si>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</si>
  <si>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</si>
  <si>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</si>
  <si>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</si>
  <si>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</si>
  <si>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</si>
  <si>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</si>
  <si>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Tekuće i investicijsko održavanje zgrade škole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</si>
  <si>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</si>
  <si>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</si>
  <si>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</si>
  <si>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</si>
  <si>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</si>
  <si>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</si>
  <si>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</si>
  <si>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</si>
  <si>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ostali rashodi (provizija)</t>
  </si>
  <si>
    <t>Knjige za knjižnicu</t>
  </si>
  <si>
    <t>Ostala uredska oprema i namještaj</t>
  </si>
  <si>
    <t>Postrojenja i oprema</t>
  </si>
  <si>
    <t>Računala i računalna oprema</t>
  </si>
  <si>
    <t>Ostala uredska oprema</t>
  </si>
  <si>
    <t>2 g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</si>
  <si>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</si>
  <si>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</si>
  <si>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</si>
  <si>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</si>
  <si>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</si>
  <si>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</si>
  <si>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</si>
  <si>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</si>
  <si>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</si>
  <si>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</si>
  <si>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</si>
  <si>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</si>
  <si>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Mileo Todić                                                    Romana Orlić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</si>
  <si>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</si>
  <si>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</si>
  <si>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</si>
  <si>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</si>
  <si>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</si>
  <si>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</si>
  <si>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</si>
  <si>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</si>
  <si>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</si>
  <si>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</si>
  <si>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</si>
  <si>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</si>
  <si>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</si>
  <si>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</si>
  <si>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</si>
  <si>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</si>
  <si>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</si>
  <si>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</si>
  <si>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</si>
  <si>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</si>
  <si>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</si>
  <si>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</si>
  <si>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</si>
  <si>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</si>
  <si>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</si>
  <si>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</si>
  <si>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</si>
  <si>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Izmjena plana nabave 10/2022</t>
  </si>
  <si>
    <t xml:space="preserve">PROCIJENJENA VRIJEDNOST NABAVE BEZ  PDV (Plan nabave)    </t>
  </si>
  <si>
    <t>1.Izmjena i dopuna plana nabave 08/2023-PROCIJENJENA VRIJEDNOST NABAVE BEZ PDV</t>
  </si>
  <si>
    <t>Hitna sanacija krovišta nakon oštećenja uslijed nevremena</t>
  </si>
  <si>
    <t xml:space="preserve">Izmjenjen iznos </t>
  </si>
  <si>
    <t>OŠ Đure Deželića Ivanić-Grad</t>
  </si>
  <si>
    <t>Ugovor o javnoj nabavi</t>
  </si>
  <si>
    <t>Projekt hitne sanacije krovišta</t>
  </si>
  <si>
    <t>Jednostavna nabava-poziv na dostavu ponude</t>
  </si>
  <si>
    <t>28.07.2023.</t>
  </si>
  <si>
    <t>28.08.2023.</t>
  </si>
  <si>
    <t>Zgrade znanstvenih i obrazovnih institucija-idejni projekat dogradnje škole</t>
  </si>
  <si>
    <t>3/2023</t>
  </si>
  <si>
    <t>4/2023</t>
  </si>
  <si>
    <t>Usluga stručnog nadzora na hitnoj sanaciji krovišta</t>
  </si>
  <si>
    <t>30.08.2023.</t>
  </si>
  <si>
    <t>Zagrebačka županija</t>
  </si>
  <si>
    <t>Na osnovi odredaba Zakona o javnoj nabavi ( NN broj 120/16 i 114/22), te članka 29. Statuta OŠ Đure Deželića Ivanić-Grad,  Školski odbor donosi slijedeće</t>
  </si>
  <si>
    <t>71000000-8</t>
  </si>
  <si>
    <t>45200000-9</t>
  </si>
  <si>
    <t>71247000-1 </t>
  </si>
  <si>
    <t>2.Izmjena i dopuna plana nabave 08/2023-PROCIJENJENA VRIJEDNOST NABAVE BEZ PDV</t>
  </si>
  <si>
    <t>Zaštita zgrade prije početka radova na sanaciji krovišta</t>
  </si>
  <si>
    <t>18.09.2023.</t>
  </si>
  <si>
    <t>3.Izmjena i dopuna plana nabave 12/2023-PROCIJENJENA VRIJEDNOST NABAVE BEZ PDV</t>
  </si>
  <si>
    <t>radni udžbenici, radne bilježnice i ostalo</t>
  </si>
  <si>
    <t>Motorni benzin i ostalo</t>
  </si>
  <si>
    <t>prijevoz učenika - izleti, natjecanja</t>
  </si>
  <si>
    <t>invest.radovi na građevini</t>
  </si>
  <si>
    <t>Ugovor o javnoj nabavi-Malekinušić</t>
  </si>
  <si>
    <t>Jednostavna nabava-poziv na dostavu ponude-Reverto</t>
  </si>
  <si>
    <t>rashodi za ulaznice</t>
  </si>
  <si>
    <t>rashodi za natjecanja</t>
  </si>
  <si>
    <t>Udžbenici</t>
  </si>
  <si>
    <t xml:space="preserve">III. IZMJENA GODIŠNJEG  PLANA NABAVE ZA 2023.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</si>
</sst>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9"/>
      <name val="Arial"/>
      <family val="2"/>
      <charset val="238"/>
    </font>
    <font>
      <sz val="9"/>
      <color rgb="FF0070C0"/>
      <name val="Arial"/>
      <family val="2"/>
      <charset val="238"/>
    </font>
    <font>
      <sz val="8"/>
      <color rgb="FFFF6699"/>
      <name val="Arial"/>
      <family val="2"/>
      <charset val="238"/>
    </font>
    <font>
      <sz val="9"/>
      <color rgb="FFFF3300"/>
      <name val="Arial"/>
      <family val="2"/>
      <charset val="238"/>
    </font>
    <font>
      <b/>
      <i/>
      <sz val="8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/>
  </cellStyleXfs>
  <cellXfs count="12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2" fillId="0" borderId="1" xfId="0" applyNumberFormat="1" applyFont="1" applyBorder="1"/>
    <xf numFmtId="0" fontId="5" fillId="0" borderId="0" xfId="0" applyFont="1"/>
    <xf numFmtId="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/>
    <xf numFmtId="0" fontId="0" fillId="0" borderId="0" xfId="0" applyBorder="1"/>
    <xf numFmtId="0" fontId="5" fillId="0" borderId="5" xfId="0" applyFont="1" applyBorder="1" applyAlignment="1"/>
    <xf numFmtId="4" fontId="8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0" fontId="10" fillId="0" borderId="1" xfId="0" applyFont="1" applyBorder="1"/>
    <xf numFmtId="0" fontId="3" fillId="0" borderId="6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/>
    <xf numFmtId="0" fontId="0" fillId="0" borderId="4" xfId="0" applyBorder="1" applyAlignment="1"/>
    <xf numFmtId="0" fontId="0" fillId="0" borderId="6" xfId="0" applyBorder="1" applyAlignment="1"/>
    <xf numFmtId="0" fontId="3" fillId="0" borderId="4" xfId="0" applyFont="1" applyBorder="1" applyAlignment="1"/>
    <xf numFmtId="4" fontId="2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7" xfId="0" applyBorder="1" applyAlignment="1"/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1" xfId="0" applyNumberFormat="1" applyFont="1" applyBorder="1"/>
    <xf numFmtId="0" fontId="2" fillId="0" borderId="2" xfId="0" applyFont="1" applyBorder="1" applyAlignment="1"/>
    <xf numFmtId="4" fontId="14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8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4" fontId="18" fillId="0" borderId="1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0" fillId="0" borderId="1" xfId="0" applyFont="1" applyBorder="1"/>
    <xf numFmtId="0" fontId="2" fillId="0" borderId="1" xfId="0" applyFont="1" applyBorder="1" applyAlignment="1">
      <alignment horizontal="left"/>
    </xf>
    <xf numFmtId="49" fontId="4" fillId="0" borderId="6" xfId="0" applyNumberFormat="1" applyFont="1" applyBorder="1" applyAlignment="1"/>
    <xf numFmtId="0" fontId="4" fillId="0" borderId="4" xfId="0" applyFont="1" applyBorder="1"/>
    <xf numFmtId="17" fontId="3" fillId="0" borderId="1" xfId="0" applyNumberFormat="1" applyFont="1" applyBorder="1"/>
    <xf numFmtId="0" fontId="21" fillId="0" borderId="1" xfId="0" applyFont="1" applyBorder="1"/>
    <xf numFmtId="2" fontId="2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horizontal="right"/>
    </xf>
    <xf numFmtId="49" fontId="23" fillId="0" borderId="6" xfId="0" applyNumberFormat="1" applyFont="1" applyBorder="1" applyAlignment="1"/>
    <xf numFmtId="0" fontId="0" fillId="0" borderId="0" xfId="0" applyAlignment="1"/>
    <xf numFmtId="2" fontId="2" fillId="0" borderId="0" xfId="0" applyNumberFormat="1" applyFont="1" applyBorder="1" applyAlignment="1"/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/>
    <xf numFmtId="2" fontId="2" fillId="0" borderId="0" xfId="0" applyNumberFormat="1" applyFont="1" applyBorder="1" applyAlignment="1"/>
    <xf numFmtId="2" fontId="2" fillId="0" borderId="8" xfId="0" applyNumberFormat="1" applyFont="1" applyBorder="1" applyAlignment="1"/>
    <xf numFmtId="2" fontId="2" fillId="0" borderId="9" xfId="0" applyNumberFormat="1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164" fontId="2" fillId="0" borderId="0" xfId="0" applyNumberFormat="1" applyFont="1" applyBorder="1" applyAlignment="1">
      <alignment horizontal="center"/>
    </xf>
    <xf numFmtId="44" fontId="9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3" fillId="0" borderId="1" xfId="0" applyFont="1" applyBorder="1"/>
    <xf numFmtId="0" fontId="24" fillId="0" borderId="1" xfId="0" applyFont="1" applyBorder="1"/>
    <xf numFmtId="0" fontId="23" fillId="0" borderId="1" xfId="0" applyFont="1" applyBorder="1" applyAlignment="1">
      <alignment wrapText="1"/>
    </xf>
    <xf numFmtId="4" fontId="8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wrapText="1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FF7C80"/>
      <color rgb="FFFF3300"/>
      <color rgb="FFFF6699"/>
      <color rgb="FFCC66FF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tabSelected="1" view="pageBreakPreview" zoomScale="60" zoomScaleNormal="100" workbookViewId="0">
      <selection activeCell="R101" sqref="R101:R119"/>
    </sheetView>
  </sheetViews>
  <sheetFormatPr defaultRowHeight="12.75" x14ac:dyDescent="0.2"/>
  <cols>
    <col min="1" max="1" width="3.5703125" customWidth="1"/>
    <col min="2" max="2" width="7.5703125" style="34" customWidth="1"/>
    <col min="3" max="3" width="7.85546875" customWidth="1"/>
    <col min="4" max="4" width="38.28515625" customWidth="1"/>
    <col min="5" max="5" width="8.42578125" customWidth="1"/>
    <col min="6" max="6" width="11.85546875" customWidth="1"/>
    <col min="7" max="7" width="12.42578125" customWidth="1"/>
    <col min="8" max="8" width="12.5703125" customWidth="1"/>
    <col min="9" max="9" width="12.85546875" customWidth="1"/>
    <col min="10" max="10" width="10" customWidth="1"/>
    <col min="11" max="11" width="9.85546875" customWidth="1"/>
    <col min="12" max="12" width="7.7109375" customWidth="1"/>
    <col min="13" max="13" width="7.5703125" customWidth="1"/>
    <col min="14" max="14" width="0.42578125" hidden="1" customWidth="1"/>
    <col min="15" max="15" width="1.5703125" hidden="1" customWidth="1"/>
    <col min="16" max="16" width="10.42578125" customWidth="1"/>
  </cols>
  <sheetData>
    <row r="1" spans="1:16" ht="20.25" x14ac:dyDescent="0.3">
      <c r="A1" s="105" t="s">
        <v>71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6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6" x14ac:dyDescent="0.2">
      <c r="A3" s="107"/>
      <c r="B3" s="75"/>
      <c r="C3" s="75"/>
      <c r="D3" s="107"/>
      <c r="E3" s="72"/>
    </row>
    <row r="4" spans="1:16" x14ac:dyDescent="0.2">
      <c r="A4" s="108" t="s">
        <v>185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6" ht="17.25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6" ht="18" customHeight="1" x14ac:dyDescent="0.25">
      <c r="A6" s="6"/>
      <c r="B6" s="104" t="s">
        <v>202</v>
      </c>
      <c r="C6" s="104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6" ht="1.5" hidden="1" customHeight="1" x14ac:dyDescent="0.2"/>
    <row r="8" spans="1:16" ht="1.5" hidden="1" customHeight="1" x14ac:dyDescent="0.2"/>
    <row r="9" spans="1:16" ht="12.75" customHeight="1" x14ac:dyDescent="0.2">
      <c r="A9" s="96" t="s">
        <v>23</v>
      </c>
      <c r="B9" s="96" t="s">
        <v>58</v>
      </c>
      <c r="C9" s="98" t="s">
        <v>65</v>
      </c>
      <c r="D9" s="100" t="s">
        <v>0</v>
      </c>
      <c r="E9" s="96" t="s">
        <v>73</v>
      </c>
      <c r="F9" s="96" t="s">
        <v>169</v>
      </c>
      <c r="G9" s="96" t="s">
        <v>170</v>
      </c>
      <c r="H9" s="96" t="s">
        <v>189</v>
      </c>
      <c r="I9" s="96" t="s">
        <v>192</v>
      </c>
      <c r="J9" s="96" t="s">
        <v>66</v>
      </c>
      <c r="K9" s="98" t="s">
        <v>47</v>
      </c>
      <c r="L9" s="110" t="s">
        <v>48</v>
      </c>
      <c r="M9" s="111" t="s">
        <v>49</v>
      </c>
      <c r="N9" s="113"/>
      <c r="O9" s="114"/>
      <c r="P9" s="96" t="s">
        <v>172</v>
      </c>
    </row>
    <row r="10" spans="1:16" ht="70.5" customHeight="1" x14ac:dyDescent="0.2">
      <c r="A10" s="97"/>
      <c r="B10" s="97"/>
      <c r="C10" s="99"/>
      <c r="D10" s="101"/>
      <c r="E10" s="97"/>
      <c r="F10" s="103"/>
      <c r="G10" s="102" t="s">
        <v>168</v>
      </c>
      <c r="H10" s="102" t="s">
        <v>168</v>
      </c>
      <c r="I10" s="102" t="s">
        <v>168</v>
      </c>
      <c r="J10" s="103"/>
      <c r="K10" s="99"/>
      <c r="L10" s="99"/>
      <c r="M10" s="112"/>
      <c r="N10" s="115"/>
      <c r="O10" s="114"/>
      <c r="P10" s="102" t="s">
        <v>168</v>
      </c>
    </row>
    <row r="11" spans="1:16" x14ac:dyDescent="0.2">
      <c r="A11" s="8" t="s">
        <v>1</v>
      </c>
      <c r="B11" s="8" t="s">
        <v>2</v>
      </c>
      <c r="C11" s="8" t="s">
        <v>3</v>
      </c>
      <c r="D11" s="8" t="s">
        <v>141</v>
      </c>
      <c r="E11" s="8" t="s">
        <v>4</v>
      </c>
      <c r="F11" s="8" t="s">
        <v>6</v>
      </c>
      <c r="G11" s="8" t="s">
        <v>6</v>
      </c>
      <c r="H11" s="8" t="s">
        <v>6</v>
      </c>
      <c r="I11" s="8" t="s">
        <v>6</v>
      </c>
      <c r="J11" s="8" t="s">
        <v>9</v>
      </c>
      <c r="K11" s="8" t="s">
        <v>10</v>
      </c>
      <c r="L11" s="8" t="s">
        <v>12</v>
      </c>
      <c r="M11" s="8" t="s">
        <v>14</v>
      </c>
      <c r="N11" s="92"/>
      <c r="O11" s="92"/>
      <c r="P11" s="8" t="s">
        <v>6</v>
      </c>
    </row>
    <row r="12" spans="1:16" x14ac:dyDescent="0.2">
      <c r="A12" s="69"/>
      <c r="B12" s="8"/>
      <c r="C12" s="8"/>
      <c r="D12" s="19" t="s">
        <v>68</v>
      </c>
      <c r="E12" s="42"/>
      <c r="F12" s="8"/>
      <c r="G12" s="8"/>
      <c r="H12" s="8"/>
      <c r="I12" s="8"/>
      <c r="J12" s="8"/>
      <c r="K12" s="8"/>
      <c r="L12" s="8"/>
      <c r="M12" s="8"/>
      <c r="N12" s="68"/>
      <c r="O12" s="68"/>
      <c r="P12" s="8"/>
    </row>
    <row r="13" spans="1:16" ht="24" x14ac:dyDescent="0.2">
      <c r="A13" s="69"/>
      <c r="B13" s="35">
        <v>3211</v>
      </c>
      <c r="C13" s="8"/>
      <c r="D13" s="30" t="s">
        <v>163</v>
      </c>
      <c r="E13" s="42"/>
      <c r="F13" s="27">
        <v>11545.526843188001</v>
      </c>
      <c r="G13" s="27">
        <v>11545.526843188001</v>
      </c>
      <c r="H13" s="27">
        <v>11545.526843188001</v>
      </c>
      <c r="I13" s="27">
        <f>6849.1</f>
        <v>6849.1</v>
      </c>
      <c r="J13" s="8"/>
      <c r="K13" s="8"/>
      <c r="L13" s="8"/>
      <c r="M13" s="8"/>
      <c r="N13" s="68"/>
      <c r="O13" s="68"/>
      <c r="P13" s="27">
        <f>H13-I13</f>
        <v>4696.4268431880009</v>
      </c>
    </row>
    <row r="14" spans="1:16" x14ac:dyDescent="0.2">
      <c r="A14" s="69"/>
      <c r="B14" s="35">
        <v>3213</v>
      </c>
      <c r="C14" s="8"/>
      <c r="D14" s="19" t="s">
        <v>67</v>
      </c>
      <c r="E14" s="42"/>
      <c r="F14" s="27">
        <v>2704.2537660096887</v>
      </c>
      <c r="G14" s="27">
        <v>2704.2537660096887</v>
      </c>
      <c r="H14" s="27">
        <v>2704.2537660096887</v>
      </c>
      <c r="I14" s="27">
        <v>691.68</v>
      </c>
      <c r="J14" s="8"/>
      <c r="K14" s="8"/>
      <c r="L14" s="8"/>
      <c r="M14" s="8"/>
      <c r="N14" s="68"/>
      <c r="O14" s="68"/>
      <c r="P14" s="27">
        <f t="shared" ref="P14:P79" si="0">H14-I14</f>
        <v>2012.5737660096888</v>
      </c>
    </row>
    <row r="15" spans="1:16" x14ac:dyDescent="0.2">
      <c r="A15" s="81" t="s">
        <v>1</v>
      </c>
      <c r="B15" s="35">
        <v>3221</v>
      </c>
      <c r="C15" s="2"/>
      <c r="D15" s="19" t="s">
        <v>24</v>
      </c>
      <c r="E15" s="42"/>
      <c r="F15" s="27">
        <v>5811.6663348596458</v>
      </c>
      <c r="G15" s="27">
        <v>5811.6663348596458</v>
      </c>
      <c r="H15" s="27">
        <v>5811.6663348596458</v>
      </c>
      <c r="I15" s="27">
        <f>SUM(I17:I23)</f>
        <v>30243.013333333332</v>
      </c>
      <c r="J15" s="5"/>
      <c r="K15" s="5"/>
      <c r="L15" s="5"/>
      <c r="M15" s="5"/>
      <c r="N15" s="109"/>
      <c r="O15" s="109"/>
      <c r="P15" s="27">
        <f t="shared" si="0"/>
        <v>-24431.346998473688</v>
      </c>
    </row>
    <row r="16" spans="1:16" x14ac:dyDescent="0.2">
      <c r="A16" s="82"/>
      <c r="B16" s="94"/>
      <c r="C16" s="23"/>
      <c r="D16" s="47" t="s">
        <v>144</v>
      </c>
      <c r="E16" s="35"/>
      <c r="F16" s="26"/>
      <c r="G16" s="26"/>
      <c r="H16" s="26"/>
      <c r="I16" s="26"/>
      <c r="J16" s="5"/>
      <c r="K16" s="5"/>
      <c r="L16" s="5"/>
      <c r="M16" s="5"/>
      <c r="N16" s="66"/>
      <c r="O16" s="66"/>
      <c r="P16" s="26">
        <f t="shared" si="0"/>
        <v>0</v>
      </c>
    </row>
    <row r="17" spans="1:16" x14ac:dyDescent="0.2">
      <c r="A17" s="82"/>
      <c r="B17" s="95"/>
      <c r="C17" s="29"/>
      <c r="D17" s="3" t="s">
        <v>74</v>
      </c>
      <c r="E17" s="35" t="s">
        <v>145</v>
      </c>
      <c r="F17" s="26">
        <v>581.16663348596455</v>
      </c>
      <c r="G17" s="26">
        <v>581.16663348596455</v>
      </c>
      <c r="H17" s="26">
        <v>581.16663348596455</v>
      </c>
      <c r="I17" s="26">
        <v>581.16663348596455</v>
      </c>
      <c r="J17" s="5"/>
      <c r="K17" s="5"/>
      <c r="L17" s="5"/>
      <c r="M17" s="5"/>
      <c r="N17" s="66"/>
      <c r="O17" s="66"/>
      <c r="P17" s="26">
        <f t="shared" si="0"/>
        <v>0</v>
      </c>
    </row>
    <row r="18" spans="1:16" x14ac:dyDescent="0.2">
      <c r="A18" s="82"/>
      <c r="B18" s="95"/>
      <c r="C18" s="29"/>
      <c r="D18" s="3" t="s">
        <v>75</v>
      </c>
      <c r="E18" s="35" t="s">
        <v>146</v>
      </c>
      <c r="F18" s="26">
        <v>1162.3332669719291</v>
      </c>
      <c r="G18" s="26">
        <v>1162.3332669719291</v>
      </c>
      <c r="H18" s="26">
        <v>1162.3332669719291</v>
      </c>
      <c r="I18" s="26">
        <f>2392.04/1.25</f>
        <v>1913.6320000000001</v>
      </c>
      <c r="J18" s="5"/>
      <c r="K18" s="5"/>
      <c r="L18" s="5"/>
      <c r="M18" s="5"/>
      <c r="N18" s="66"/>
      <c r="O18" s="66"/>
      <c r="P18" s="26">
        <f t="shared" si="0"/>
        <v>-751.29873302807096</v>
      </c>
    </row>
    <row r="19" spans="1:16" x14ac:dyDescent="0.2">
      <c r="A19" s="82"/>
      <c r="B19" s="95"/>
      <c r="C19" s="29"/>
      <c r="D19" s="3" t="s">
        <v>147</v>
      </c>
      <c r="E19" s="35" t="s">
        <v>148</v>
      </c>
      <c r="F19" s="26">
        <v>1162.3332669719291</v>
      </c>
      <c r="G19" s="26">
        <v>1162.3332669719291</v>
      </c>
      <c r="H19" s="26">
        <v>1162.3332669719291</v>
      </c>
      <c r="I19" s="26">
        <f>1000/1.25</f>
        <v>800</v>
      </c>
      <c r="J19" s="5"/>
      <c r="K19" s="5"/>
      <c r="L19" s="5"/>
      <c r="M19" s="5"/>
      <c r="N19" s="66"/>
      <c r="O19" s="66"/>
      <c r="P19" s="26">
        <f t="shared" si="0"/>
        <v>362.33326697192911</v>
      </c>
    </row>
    <row r="20" spans="1:16" x14ac:dyDescent="0.2">
      <c r="A20" s="82"/>
      <c r="B20" s="95"/>
      <c r="C20" s="29"/>
      <c r="D20" s="3" t="s">
        <v>149</v>
      </c>
      <c r="E20" s="35" t="s">
        <v>150</v>
      </c>
      <c r="F20" s="26">
        <v>1162.3332669719291</v>
      </c>
      <c r="G20" s="26">
        <v>1162.3332669719291</v>
      </c>
      <c r="H20" s="26">
        <v>1162.3332669719291</v>
      </c>
      <c r="I20" s="26">
        <f>987.38/1.25</f>
        <v>789.904</v>
      </c>
      <c r="J20" s="5"/>
      <c r="K20" s="5"/>
      <c r="L20" s="5"/>
      <c r="M20" s="5"/>
      <c r="N20" s="66"/>
      <c r="O20" s="66"/>
      <c r="P20" s="26">
        <f t="shared" si="0"/>
        <v>372.42926697192911</v>
      </c>
    </row>
    <row r="21" spans="1:16" x14ac:dyDescent="0.2">
      <c r="A21" s="82"/>
      <c r="B21" s="95"/>
      <c r="C21" s="29"/>
      <c r="D21" s="3" t="s">
        <v>151</v>
      </c>
      <c r="E21" s="35" t="s">
        <v>152</v>
      </c>
      <c r="F21" s="26">
        <v>581.16663348596455</v>
      </c>
      <c r="G21" s="26">
        <v>581.16663348596455</v>
      </c>
      <c r="H21" s="26">
        <v>581.16663348596455</v>
      </c>
      <c r="I21" s="26">
        <v>581.16663348596455</v>
      </c>
      <c r="J21" s="5"/>
      <c r="K21" s="5"/>
      <c r="L21" s="5"/>
      <c r="M21" s="5"/>
      <c r="N21" s="66"/>
      <c r="O21" s="66"/>
      <c r="P21" s="26">
        <f t="shared" si="0"/>
        <v>0</v>
      </c>
    </row>
    <row r="22" spans="1:16" x14ac:dyDescent="0.2">
      <c r="A22" s="82"/>
      <c r="B22" s="95"/>
      <c r="C22" s="29"/>
      <c r="D22" s="3" t="s">
        <v>76</v>
      </c>
      <c r="E22" s="35" t="s">
        <v>153</v>
      </c>
      <c r="F22" s="26">
        <v>1162.3332669719291</v>
      </c>
      <c r="G22" s="26">
        <v>1162.3332669719291</v>
      </c>
      <c r="H22" s="26">
        <v>1162.3332669719291</v>
      </c>
      <c r="I22" s="26">
        <f>6570.48-I17-I18-I19-I20-I21</f>
        <v>1904.6107330280702</v>
      </c>
      <c r="J22" s="5"/>
      <c r="K22" s="5"/>
      <c r="L22" s="5"/>
      <c r="M22" s="5"/>
      <c r="N22" s="66"/>
      <c r="O22" s="66"/>
      <c r="P22" s="26">
        <f t="shared" si="0"/>
        <v>-742.27746605614107</v>
      </c>
    </row>
    <row r="23" spans="1:16" x14ac:dyDescent="0.2">
      <c r="A23" s="59"/>
      <c r="B23" s="70"/>
      <c r="C23" s="29"/>
      <c r="D23" s="3" t="s">
        <v>193</v>
      </c>
      <c r="E23" s="35" t="s">
        <v>153</v>
      </c>
      <c r="F23" s="26">
        <v>1162.3332669719291</v>
      </c>
      <c r="G23" s="26">
        <v>1162.3332669719291</v>
      </c>
      <c r="H23" s="26">
        <v>1162.3332669719291</v>
      </c>
      <c r="I23" s="26">
        <f>19307.36/1.05+5548.8/1.05</f>
        <v>23672.533333333333</v>
      </c>
      <c r="J23" s="5"/>
      <c r="K23" s="5"/>
      <c r="L23" s="5"/>
      <c r="M23" s="5"/>
      <c r="N23" s="66"/>
      <c r="O23" s="66"/>
      <c r="P23" s="26">
        <f t="shared" ref="P23" si="1">H23-I23</f>
        <v>-22510.200066361405</v>
      </c>
    </row>
    <row r="24" spans="1:16" x14ac:dyDescent="0.2">
      <c r="A24" s="81" t="s">
        <v>2</v>
      </c>
      <c r="B24" s="65">
        <v>3222</v>
      </c>
      <c r="C24" s="20"/>
      <c r="D24" s="19" t="s">
        <v>59</v>
      </c>
      <c r="E24" s="42"/>
      <c r="F24" s="27">
        <v>52257.013951695219</v>
      </c>
      <c r="G24" s="27">
        <v>52257.013951695219</v>
      </c>
      <c r="H24" s="27">
        <v>52257.013951695219</v>
      </c>
      <c r="I24" s="27">
        <f>I25+I32+I33+I34+I35+I36+I37+I38+I44</f>
        <v>88007.862774891764</v>
      </c>
      <c r="J24" s="5"/>
      <c r="K24" s="5"/>
      <c r="L24" s="5"/>
      <c r="M24" s="5"/>
      <c r="N24" s="66"/>
      <c r="O24" s="66"/>
      <c r="P24" s="27">
        <f t="shared" si="0"/>
        <v>-35750.848823196546</v>
      </c>
    </row>
    <row r="25" spans="1:16" x14ac:dyDescent="0.2">
      <c r="A25" s="82"/>
      <c r="B25" s="94"/>
      <c r="C25" s="25"/>
      <c r="D25" s="19" t="s">
        <v>77</v>
      </c>
      <c r="E25" s="35"/>
      <c r="F25" s="40">
        <v>18290.399428330165</v>
      </c>
      <c r="G25" s="40">
        <v>18290.399428330165</v>
      </c>
      <c r="H25" s="40">
        <v>18290.399428330165</v>
      </c>
      <c r="I25" s="40">
        <f>SUM(I26:I31)</f>
        <v>15927</v>
      </c>
      <c r="J25" s="5"/>
      <c r="K25" s="5"/>
      <c r="L25" s="5"/>
      <c r="M25" s="5"/>
      <c r="N25" s="66"/>
      <c r="O25" s="66"/>
      <c r="P25" s="40">
        <f t="shared" si="0"/>
        <v>2363.3994283301654</v>
      </c>
    </row>
    <row r="26" spans="1:16" x14ac:dyDescent="0.2">
      <c r="A26" s="90"/>
      <c r="B26" s="95"/>
      <c r="C26" s="29"/>
      <c r="D26" s="3" t="s">
        <v>79</v>
      </c>
      <c r="E26" s="35" t="s">
        <v>78</v>
      </c>
      <c r="F26" s="26">
        <v>3658.0798856660331</v>
      </c>
      <c r="G26" s="26">
        <v>3658.0798856660331</v>
      </c>
      <c r="H26" s="26">
        <v>3658.0798856660331</v>
      </c>
      <c r="I26" s="26">
        <v>3827</v>
      </c>
      <c r="J26" s="5"/>
      <c r="K26" s="5"/>
      <c r="L26" s="5"/>
      <c r="M26" s="5"/>
      <c r="N26" s="89"/>
      <c r="O26" s="89"/>
      <c r="P26" s="26">
        <f t="shared" si="0"/>
        <v>-168.92011433396692</v>
      </c>
    </row>
    <row r="27" spans="1:16" x14ac:dyDescent="0.2">
      <c r="A27" s="90"/>
      <c r="B27" s="95"/>
      <c r="C27" s="29"/>
      <c r="D27" s="3" t="s">
        <v>80</v>
      </c>
      <c r="E27" s="35" t="s">
        <v>83</v>
      </c>
      <c r="F27" s="26">
        <v>2743.5599142495248</v>
      </c>
      <c r="G27" s="26">
        <v>2743.5599142495248</v>
      </c>
      <c r="H27" s="26">
        <v>2743.5599142495248</v>
      </c>
      <c r="I27" s="26">
        <v>2500</v>
      </c>
      <c r="J27" s="5"/>
      <c r="K27" s="5"/>
      <c r="L27" s="5"/>
      <c r="M27" s="5"/>
      <c r="N27" s="89"/>
      <c r="O27" s="89"/>
      <c r="P27" s="26">
        <f t="shared" si="0"/>
        <v>243.55991424952481</v>
      </c>
    </row>
    <row r="28" spans="1:16" x14ac:dyDescent="0.2">
      <c r="A28" s="90"/>
      <c r="B28" s="95"/>
      <c r="C28" s="29"/>
      <c r="D28" s="3" t="s">
        <v>91</v>
      </c>
      <c r="E28" s="35" t="s">
        <v>154</v>
      </c>
      <c r="F28" s="26">
        <v>2743.5599142495248</v>
      </c>
      <c r="G28" s="26">
        <v>2743.5599142495248</v>
      </c>
      <c r="H28" s="26">
        <v>2743.5599142495248</v>
      </c>
      <c r="I28" s="26">
        <v>2200</v>
      </c>
      <c r="J28" s="5"/>
      <c r="K28" s="5"/>
      <c r="L28" s="5"/>
      <c r="M28" s="5"/>
      <c r="N28" s="66"/>
      <c r="O28" s="66"/>
      <c r="P28" s="26">
        <f t="shared" si="0"/>
        <v>543.55991424952481</v>
      </c>
    </row>
    <row r="29" spans="1:16" x14ac:dyDescent="0.2">
      <c r="A29" s="90"/>
      <c r="B29" s="95"/>
      <c r="C29" s="29"/>
      <c r="D29" s="3" t="s">
        <v>81</v>
      </c>
      <c r="E29" s="35" t="s">
        <v>84</v>
      </c>
      <c r="F29" s="26">
        <v>2743.5599142495248</v>
      </c>
      <c r="G29" s="26">
        <v>2743.5599142495248</v>
      </c>
      <c r="H29" s="26">
        <v>2743.5599142495248</v>
      </c>
      <c r="I29" s="26">
        <v>2500</v>
      </c>
      <c r="J29" s="5"/>
      <c r="K29" s="5"/>
      <c r="L29" s="5"/>
      <c r="M29" s="5"/>
      <c r="N29" s="89"/>
      <c r="O29" s="89"/>
      <c r="P29" s="26">
        <f t="shared" si="0"/>
        <v>243.55991424952481</v>
      </c>
    </row>
    <row r="30" spans="1:16" ht="24" x14ac:dyDescent="0.2">
      <c r="A30" s="90"/>
      <c r="B30" s="95"/>
      <c r="C30" s="29"/>
      <c r="D30" s="122" t="s">
        <v>138</v>
      </c>
      <c r="E30" s="35" t="s">
        <v>84</v>
      </c>
      <c r="F30" s="26">
        <v>3658.0798856660331</v>
      </c>
      <c r="G30" s="26">
        <v>3658.0798856660331</v>
      </c>
      <c r="H30" s="26">
        <v>3658.0798856660331</v>
      </c>
      <c r="I30" s="26">
        <v>2700</v>
      </c>
      <c r="J30" s="5"/>
      <c r="K30" s="5"/>
      <c r="L30" s="5"/>
      <c r="M30" s="5"/>
      <c r="N30" s="91"/>
      <c r="O30" s="92"/>
      <c r="P30" s="26">
        <f t="shared" si="0"/>
        <v>958.07988566603308</v>
      </c>
    </row>
    <row r="31" spans="1:16" x14ac:dyDescent="0.2">
      <c r="A31" s="90"/>
      <c r="B31" s="95"/>
      <c r="C31" s="29"/>
      <c r="D31" s="3" t="s">
        <v>82</v>
      </c>
      <c r="E31" s="35" t="s">
        <v>155</v>
      </c>
      <c r="F31" s="26">
        <v>2743.5599142495248</v>
      </c>
      <c r="G31" s="26">
        <v>2743.5599142495248</v>
      </c>
      <c r="H31" s="26">
        <v>2743.5599142495248</v>
      </c>
      <c r="I31" s="26">
        <v>2200</v>
      </c>
      <c r="J31" s="5"/>
      <c r="K31" s="5"/>
      <c r="L31" s="5"/>
      <c r="M31" s="5"/>
      <c r="N31" s="89"/>
      <c r="O31" s="89"/>
      <c r="P31" s="26">
        <f t="shared" si="0"/>
        <v>543.55991424952481</v>
      </c>
    </row>
    <row r="32" spans="1:16" x14ac:dyDescent="0.2">
      <c r="A32" s="90"/>
      <c r="B32" s="95"/>
      <c r="C32" s="29"/>
      <c r="D32" s="19" t="s">
        <v>89</v>
      </c>
      <c r="E32" s="35" t="s">
        <v>156</v>
      </c>
      <c r="F32" s="40">
        <v>2612.914204047167</v>
      </c>
      <c r="G32" s="40">
        <v>2612.914204047167</v>
      </c>
      <c r="H32" s="40">
        <v>2612.914204047167</v>
      </c>
      <c r="I32" s="40">
        <f>4637/1.2</f>
        <v>3864.166666666667</v>
      </c>
      <c r="J32" s="5"/>
      <c r="K32" s="5"/>
      <c r="L32" s="5"/>
      <c r="M32" s="5"/>
      <c r="N32" s="66"/>
      <c r="O32" s="66"/>
      <c r="P32" s="40">
        <f t="shared" si="0"/>
        <v>-1251.2524626195</v>
      </c>
    </row>
    <row r="33" spans="1:17" x14ac:dyDescent="0.2">
      <c r="A33" s="90"/>
      <c r="B33" s="95"/>
      <c r="C33" s="29"/>
      <c r="D33" s="19" t="s">
        <v>85</v>
      </c>
      <c r="E33" s="35" t="s">
        <v>157</v>
      </c>
      <c r="F33" s="40">
        <v>4869.2019470958094</v>
      </c>
      <c r="G33" s="40">
        <v>4869.2019470958094</v>
      </c>
      <c r="H33" s="40">
        <v>4869.2019470958094</v>
      </c>
      <c r="I33" s="40">
        <f>12268.06/1.05</f>
        <v>11683.866666666665</v>
      </c>
      <c r="J33" s="5"/>
      <c r="K33" s="5"/>
      <c r="L33" s="5"/>
      <c r="M33" s="5"/>
      <c r="N33" s="89"/>
      <c r="O33" s="89"/>
      <c r="P33" s="40">
        <f t="shared" si="0"/>
        <v>-6814.6647195708556</v>
      </c>
    </row>
    <row r="34" spans="1:17" x14ac:dyDescent="0.2">
      <c r="A34" s="90"/>
      <c r="B34" s="95"/>
      <c r="C34" s="29"/>
      <c r="D34" s="19" t="s">
        <v>86</v>
      </c>
      <c r="E34" s="35" t="s">
        <v>158</v>
      </c>
      <c r="F34" s="40">
        <v>1567.7485224283</v>
      </c>
      <c r="G34" s="40">
        <v>1567.7485224283</v>
      </c>
      <c r="H34" s="40">
        <v>1567.7485224283</v>
      </c>
      <c r="I34" s="40">
        <f>2730.02/1.05</f>
        <v>2600.0190476190473</v>
      </c>
      <c r="J34" s="5"/>
      <c r="K34" s="5"/>
      <c r="L34" s="5"/>
      <c r="M34" s="5"/>
      <c r="N34" s="93"/>
      <c r="O34" s="89"/>
      <c r="P34" s="40">
        <f t="shared" si="0"/>
        <v>-1032.2705251907473</v>
      </c>
    </row>
    <row r="35" spans="1:17" x14ac:dyDescent="0.2">
      <c r="A35" s="90"/>
      <c r="B35" s="95"/>
      <c r="C35" s="29"/>
      <c r="D35" s="19" t="s">
        <v>87</v>
      </c>
      <c r="E35" s="35" t="s">
        <v>159</v>
      </c>
      <c r="F35" s="40">
        <v>4180.662726475467</v>
      </c>
      <c r="G35" s="40">
        <v>4180.662726475467</v>
      </c>
      <c r="H35" s="40">
        <v>4180.662726475467</v>
      </c>
      <c r="I35" s="40">
        <f>3488.56/1.25</f>
        <v>2790.848</v>
      </c>
      <c r="J35" s="5"/>
      <c r="K35" s="5"/>
      <c r="L35" s="5"/>
      <c r="M35" s="5"/>
      <c r="N35" s="89"/>
      <c r="O35" s="89"/>
      <c r="P35" s="40">
        <f t="shared" si="0"/>
        <v>1389.8147264754671</v>
      </c>
    </row>
    <row r="36" spans="1:17" ht="29.25" customHeight="1" x14ac:dyDescent="0.2">
      <c r="A36" s="90"/>
      <c r="B36" s="95"/>
      <c r="C36" s="29"/>
      <c r="D36" s="30" t="s">
        <v>88</v>
      </c>
      <c r="E36" s="35" t="s">
        <v>90</v>
      </c>
      <c r="F36" s="41">
        <v>3490.8533766070145</v>
      </c>
      <c r="G36" s="41">
        <v>3490.8533766070145</v>
      </c>
      <c r="H36" s="41">
        <v>3490.8533766070145</v>
      </c>
      <c r="I36" s="41">
        <f>4448.15/1.2</f>
        <v>3706.7916666666665</v>
      </c>
      <c r="J36" s="5"/>
      <c r="K36" s="5"/>
      <c r="L36" s="5"/>
      <c r="M36" s="5"/>
      <c r="N36" s="89"/>
      <c r="O36" s="89"/>
      <c r="P36" s="41">
        <f t="shared" si="0"/>
        <v>-215.93829005965199</v>
      </c>
    </row>
    <row r="37" spans="1:17" ht="29.25" customHeight="1" x14ac:dyDescent="0.2">
      <c r="A37" s="90"/>
      <c r="B37" s="95"/>
      <c r="C37" s="29"/>
      <c r="D37" s="30" t="s">
        <v>160</v>
      </c>
      <c r="E37" s="35" t="s">
        <v>161</v>
      </c>
      <c r="F37" s="41">
        <v>5225.828408094334</v>
      </c>
      <c r="G37" s="41">
        <v>5225.828408094334</v>
      </c>
      <c r="H37" s="41">
        <v>5225.828408094334</v>
      </c>
      <c r="I37" s="41">
        <f>37054.66/1.25</f>
        <v>29643.728000000003</v>
      </c>
      <c r="J37" s="5"/>
      <c r="K37" s="5"/>
      <c r="L37" s="5"/>
      <c r="M37" s="5"/>
      <c r="N37" s="89"/>
      <c r="O37" s="89"/>
      <c r="P37" s="41">
        <f t="shared" si="0"/>
        <v>-24417.899591905669</v>
      </c>
    </row>
    <row r="38" spans="1:17" x14ac:dyDescent="0.2">
      <c r="A38" s="90"/>
      <c r="B38" s="95"/>
      <c r="C38" s="29"/>
      <c r="D38" s="19" t="s">
        <v>102</v>
      </c>
      <c r="E38" s="116"/>
      <c r="F38" s="41">
        <v>4180.662726475467</v>
      </c>
      <c r="G38" s="41">
        <v>4180.662726475467</v>
      </c>
      <c r="H38" s="41">
        <v>4180.662726475467</v>
      </c>
      <c r="I38" s="41">
        <f>SUM(I39:I43)</f>
        <v>7081.67</v>
      </c>
      <c r="J38" s="5"/>
      <c r="K38" s="5"/>
      <c r="L38" s="5"/>
      <c r="M38" s="5"/>
      <c r="N38" s="89"/>
      <c r="O38" s="89"/>
      <c r="P38" s="41">
        <f t="shared" si="0"/>
        <v>-2901.007273524533</v>
      </c>
    </row>
    <row r="39" spans="1:17" x14ac:dyDescent="0.2">
      <c r="A39" s="90"/>
      <c r="B39" s="95"/>
      <c r="C39" s="29"/>
      <c r="D39" s="3" t="s">
        <v>92</v>
      </c>
      <c r="E39" s="17" t="s">
        <v>97</v>
      </c>
      <c r="F39" s="17">
        <v>2090.3313632377335</v>
      </c>
      <c r="G39" s="17">
        <v>2090.3313632377335</v>
      </c>
      <c r="H39" s="17">
        <v>2090.3313632377335</v>
      </c>
      <c r="I39" s="17">
        <v>2481.67</v>
      </c>
      <c r="J39" s="5"/>
      <c r="K39" s="5"/>
      <c r="L39" s="5"/>
      <c r="M39" s="5"/>
      <c r="N39" s="89"/>
      <c r="O39" s="89"/>
      <c r="P39" s="17">
        <f t="shared" si="0"/>
        <v>-391.33863676226656</v>
      </c>
    </row>
    <row r="40" spans="1:17" x14ac:dyDescent="0.2">
      <c r="A40" s="90"/>
      <c r="B40" s="95"/>
      <c r="C40" s="29"/>
      <c r="D40" s="3" t="s">
        <v>93</v>
      </c>
      <c r="E40" s="17" t="s">
        <v>98</v>
      </c>
      <c r="F40" s="17">
        <v>627.09940897132003</v>
      </c>
      <c r="G40" s="17">
        <v>627.09940897132003</v>
      </c>
      <c r="H40" s="17">
        <v>627.09940897132003</v>
      </c>
      <c r="I40" s="17">
        <v>750</v>
      </c>
      <c r="J40" s="5"/>
      <c r="K40" s="5"/>
      <c r="L40" s="5"/>
      <c r="M40" s="5"/>
      <c r="N40" s="89"/>
      <c r="O40" s="89"/>
      <c r="P40" s="17">
        <f t="shared" si="0"/>
        <v>-122.90059102867997</v>
      </c>
    </row>
    <row r="41" spans="1:17" x14ac:dyDescent="0.2">
      <c r="A41" s="90"/>
      <c r="B41" s="95"/>
      <c r="C41" s="29"/>
      <c r="D41" s="3" t="s">
        <v>94</v>
      </c>
      <c r="E41" s="17" t="s">
        <v>99</v>
      </c>
      <c r="F41" s="17">
        <v>627.09940897132003</v>
      </c>
      <c r="G41" s="17">
        <v>627.09940897132003</v>
      </c>
      <c r="H41" s="17">
        <v>627.09940897132003</v>
      </c>
      <c r="I41" s="17">
        <v>1100</v>
      </c>
      <c r="J41" s="5"/>
      <c r="K41" s="5"/>
      <c r="L41" s="5"/>
      <c r="M41" s="5"/>
      <c r="N41" s="89"/>
      <c r="O41" s="89"/>
      <c r="P41" s="17">
        <f t="shared" si="0"/>
        <v>-472.90059102867997</v>
      </c>
    </row>
    <row r="42" spans="1:17" x14ac:dyDescent="0.2">
      <c r="A42" s="90"/>
      <c r="B42" s="95"/>
      <c r="C42" s="29"/>
      <c r="D42" s="3" t="s">
        <v>95</v>
      </c>
      <c r="E42" s="17" t="s">
        <v>100</v>
      </c>
      <c r="F42" s="17">
        <v>418.06627264754673</v>
      </c>
      <c r="G42" s="17">
        <v>418.06627264754673</v>
      </c>
      <c r="H42" s="17">
        <v>418.06627264754673</v>
      </c>
      <c r="I42" s="17">
        <v>950</v>
      </c>
      <c r="J42" s="5"/>
      <c r="K42" s="5"/>
      <c r="L42" s="5"/>
      <c r="M42" s="5"/>
      <c r="N42" s="66"/>
      <c r="O42" s="66"/>
      <c r="P42" s="17">
        <f t="shared" si="0"/>
        <v>-531.93372735245327</v>
      </c>
    </row>
    <row r="43" spans="1:17" x14ac:dyDescent="0.2">
      <c r="A43" s="90"/>
      <c r="B43" s="95"/>
      <c r="C43" s="29"/>
      <c r="D43" s="3" t="s">
        <v>96</v>
      </c>
      <c r="E43" s="17" t="s">
        <v>101</v>
      </c>
      <c r="F43" s="17">
        <v>418.06627264754673</v>
      </c>
      <c r="G43" s="17">
        <v>418.06627264754673</v>
      </c>
      <c r="H43" s="17">
        <v>418.06627264754673</v>
      </c>
      <c r="I43" s="17">
        <v>1800</v>
      </c>
      <c r="J43" s="5"/>
      <c r="K43" s="5"/>
      <c r="L43" s="5"/>
      <c r="M43" s="5"/>
      <c r="N43" s="89"/>
      <c r="O43" s="89"/>
      <c r="P43" s="17">
        <f t="shared" si="0"/>
        <v>-1381.9337273524534</v>
      </c>
    </row>
    <row r="44" spans="1:17" x14ac:dyDescent="0.2">
      <c r="A44" s="90"/>
      <c r="B44" s="95"/>
      <c r="C44" s="49"/>
      <c r="D44" s="19" t="s">
        <v>103</v>
      </c>
      <c r="E44" s="35" t="s">
        <v>104</v>
      </c>
      <c r="F44" s="41">
        <v>7838.7426121414992</v>
      </c>
      <c r="G44" s="41">
        <v>7838.7426121414992</v>
      </c>
      <c r="H44" s="41">
        <v>7838.7426121414992</v>
      </c>
      <c r="I44" s="41">
        <f>11780.75/1.1</f>
        <v>10709.772727272726</v>
      </c>
      <c r="J44" s="5"/>
      <c r="K44" s="5"/>
      <c r="L44" s="5"/>
      <c r="M44" s="5"/>
      <c r="N44" s="89"/>
      <c r="O44" s="89"/>
      <c r="P44" s="41">
        <f t="shared" si="0"/>
        <v>-2871.0301151312269</v>
      </c>
      <c r="Q44" s="73"/>
    </row>
    <row r="45" spans="1:17" x14ac:dyDescent="0.2">
      <c r="A45" s="90"/>
      <c r="B45" s="95"/>
      <c r="C45" s="29"/>
      <c r="D45" s="3"/>
      <c r="E45" s="35"/>
      <c r="F45" s="17"/>
      <c r="G45" s="17"/>
      <c r="H45" s="17"/>
      <c r="I45" s="17"/>
      <c r="J45" s="5"/>
      <c r="K45" s="5"/>
      <c r="L45" s="5"/>
      <c r="M45" s="5"/>
      <c r="N45" s="89"/>
      <c r="O45" s="89"/>
      <c r="P45" s="17">
        <f t="shared" si="0"/>
        <v>0</v>
      </c>
    </row>
    <row r="46" spans="1:17" x14ac:dyDescent="0.2">
      <c r="A46" s="90"/>
      <c r="B46" s="61">
        <v>3223</v>
      </c>
      <c r="C46" s="29"/>
      <c r="D46" s="19" t="s">
        <v>106</v>
      </c>
      <c r="E46" s="35"/>
      <c r="F46" s="16">
        <v>13497.456579632551</v>
      </c>
      <c r="G46" s="16">
        <v>13497.456579632551</v>
      </c>
      <c r="H46" s="16">
        <v>13497.456579632601</v>
      </c>
      <c r="I46" s="16">
        <f>SUM(I47:I49)</f>
        <v>13775.746545301308</v>
      </c>
      <c r="J46" s="5"/>
      <c r="K46" s="5"/>
      <c r="L46" s="5"/>
      <c r="M46" s="5"/>
      <c r="N46" s="89"/>
      <c r="O46" s="89"/>
      <c r="P46" s="16">
        <f t="shared" si="0"/>
        <v>-278.28996566870774</v>
      </c>
    </row>
    <row r="47" spans="1:17" ht="22.5" x14ac:dyDescent="0.2">
      <c r="A47" s="90"/>
      <c r="B47" s="61"/>
      <c r="C47" s="29"/>
      <c r="D47" s="3" t="s">
        <v>105</v>
      </c>
      <c r="E47" s="35" t="s">
        <v>107</v>
      </c>
      <c r="F47" s="17">
        <v>6501.0685360615498</v>
      </c>
      <c r="G47" s="17">
        <v>6501.0685360615498</v>
      </c>
      <c r="H47" s="17">
        <v>6501.0685360615498</v>
      </c>
      <c r="I47" s="17">
        <f>4503.21/1.13</f>
        <v>3985.1415929203545</v>
      </c>
      <c r="J47" s="53" t="s">
        <v>184</v>
      </c>
      <c r="K47" s="31" t="s">
        <v>109</v>
      </c>
      <c r="L47" s="5"/>
      <c r="M47" s="5" t="s">
        <v>127</v>
      </c>
      <c r="N47" s="66"/>
      <c r="O47" s="66"/>
      <c r="P47" s="17">
        <f t="shared" si="0"/>
        <v>2515.9269431411954</v>
      </c>
    </row>
    <row r="48" spans="1:17" ht="22.5" x14ac:dyDescent="0.2">
      <c r="A48" s="90"/>
      <c r="B48" s="61"/>
      <c r="C48" s="29"/>
      <c r="D48" s="50" t="s">
        <v>25</v>
      </c>
      <c r="E48" s="35" t="s">
        <v>108</v>
      </c>
      <c r="F48" s="17">
        <v>6996.3880435710007</v>
      </c>
      <c r="G48" s="17">
        <v>6996.3880435710007</v>
      </c>
      <c r="H48" s="17">
        <v>6996.3880435710007</v>
      </c>
      <c r="I48" s="17">
        <f>10260.79/1.05</f>
        <v>9772.1809523809534</v>
      </c>
      <c r="J48" s="53" t="s">
        <v>184</v>
      </c>
      <c r="K48" s="31" t="s">
        <v>109</v>
      </c>
      <c r="L48" s="5"/>
      <c r="M48" s="5" t="s">
        <v>127</v>
      </c>
      <c r="N48" s="89"/>
      <c r="O48" s="89"/>
      <c r="P48" s="17">
        <f t="shared" si="0"/>
        <v>-2775.7929088099527</v>
      </c>
    </row>
    <row r="49" spans="1:16" x14ac:dyDescent="0.2">
      <c r="A49" s="67"/>
      <c r="B49" s="61"/>
      <c r="C49" s="29"/>
      <c r="D49" s="50" t="s">
        <v>194</v>
      </c>
      <c r="E49" s="35"/>
      <c r="F49" s="17"/>
      <c r="G49" s="17"/>
      <c r="H49" s="17"/>
      <c r="I49" s="17">
        <f>23.03/1.25</f>
        <v>18.423999999999999</v>
      </c>
      <c r="J49" s="53"/>
      <c r="K49" s="31"/>
      <c r="L49" s="5"/>
      <c r="M49" s="5"/>
      <c r="N49" s="89"/>
      <c r="O49" s="89"/>
      <c r="P49" s="17">
        <f t="shared" ref="P49" si="2">H49-I49</f>
        <v>-18.423999999999999</v>
      </c>
    </row>
    <row r="50" spans="1:16" ht="24" x14ac:dyDescent="0.2">
      <c r="A50" s="62" t="s">
        <v>3</v>
      </c>
      <c r="B50" s="42">
        <v>3224</v>
      </c>
      <c r="C50" s="2"/>
      <c r="D50" s="30" t="s">
        <v>136</v>
      </c>
      <c r="E50" s="35" t="s">
        <v>164</v>
      </c>
      <c r="F50" s="27">
        <v>2017.386687902316</v>
      </c>
      <c r="G50" s="27">
        <v>2017.386687902316</v>
      </c>
      <c r="H50" s="27">
        <v>2017.386687902316</v>
      </c>
      <c r="I50" s="27">
        <f>SUM(I51:I52)</f>
        <v>2216.7359999999999</v>
      </c>
      <c r="J50" s="5"/>
      <c r="K50" s="5"/>
      <c r="L50" s="5"/>
      <c r="M50" s="5"/>
      <c r="N50" s="58"/>
      <c r="O50" s="58"/>
      <c r="P50" s="27">
        <f t="shared" si="0"/>
        <v>-199.34931209768388</v>
      </c>
    </row>
    <row r="51" spans="1:16" ht="24" x14ac:dyDescent="0.2">
      <c r="A51" s="21"/>
      <c r="B51" s="35"/>
      <c r="C51" s="2"/>
      <c r="D51" s="122" t="s">
        <v>110</v>
      </c>
      <c r="E51" s="42"/>
      <c r="F51" s="26">
        <v>1008.693343951158</v>
      </c>
      <c r="G51" s="26">
        <v>1008.693343951158</v>
      </c>
      <c r="H51" s="26">
        <v>1008.693343951158</v>
      </c>
      <c r="I51" s="26">
        <f>1131.18/1.25</f>
        <v>904.94400000000007</v>
      </c>
      <c r="J51" s="5"/>
      <c r="K51" s="5"/>
      <c r="L51" s="5"/>
      <c r="M51" s="5"/>
      <c r="N51" s="76"/>
      <c r="O51" s="76"/>
      <c r="P51" s="26">
        <f t="shared" si="0"/>
        <v>103.74934395115793</v>
      </c>
    </row>
    <row r="52" spans="1:16" ht="24" x14ac:dyDescent="0.2">
      <c r="A52" s="9"/>
      <c r="B52" s="35"/>
      <c r="C52" s="1"/>
      <c r="D52" s="122" t="s">
        <v>111</v>
      </c>
      <c r="E52" s="34"/>
      <c r="F52" s="26">
        <v>1008.693343951158</v>
      </c>
      <c r="G52" s="26">
        <v>1008.693343951158</v>
      </c>
      <c r="H52" s="26">
        <v>1008.693343951158</v>
      </c>
      <c r="I52" s="26">
        <f>1639.74/1.25</f>
        <v>1311.7919999999999</v>
      </c>
      <c r="J52" s="5"/>
      <c r="K52" s="5"/>
      <c r="L52" s="5"/>
      <c r="M52" s="5"/>
      <c r="N52" s="58"/>
      <c r="O52" s="58"/>
      <c r="P52" s="26">
        <f t="shared" si="0"/>
        <v>-303.09865604884192</v>
      </c>
    </row>
    <row r="53" spans="1:16" x14ac:dyDescent="0.2">
      <c r="A53" s="9"/>
      <c r="B53" s="35"/>
      <c r="C53" s="1"/>
      <c r="D53" s="3"/>
      <c r="E53" s="35"/>
      <c r="F53" s="26"/>
      <c r="G53" s="26"/>
      <c r="H53" s="26"/>
      <c r="I53" s="26"/>
      <c r="J53" s="5"/>
      <c r="K53" s="5"/>
      <c r="L53" s="5"/>
      <c r="M53" s="5"/>
      <c r="N53" s="58"/>
      <c r="O53" s="58"/>
      <c r="P53" s="26">
        <f t="shared" si="0"/>
        <v>0</v>
      </c>
    </row>
    <row r="54" spans="1:16" x14ac:dyDescent="0.2">
      <c r="A54" s="21" t="s">
        <v>141</v>
      </c>
      <c r="B54" s="35">
        <v>3225</v>
      </c>
      <c r="C54" s="2"/>
      <c r="D54" s="19" t="s">
        <v>5</v>
      </c>
      <c r="E54" s="42"/>
      <c r="F54" s="27">
        <v>1390.935032185281</v>
      </c>
      <c r="G54" s="27">
        <v>1390.935032185281</v>
      </c>
      <c r="H54" s="27">
        <v>1390.935032185281</v>
      </c>
      <c r="I54" s="27">
        <f>SUM(I57:I61)</f>
        <v>2497.8010193111686</v>
      </c>
      <c r="J54" s="5"/>
      <c r="K54" s="5"/>
      <c r="L54" s="5"/>
      <c r="M54" s="5"/>
      <c r="N54" s="76"/>
      <c r="O54" s="76"/>
      <c r="P54" s="27">
        <f t="shared" si="0"/>
        <v>-1106.8659871258876</v>
      </c>
    </row>
    <row r="55" spans="1:16" ht="12.75" hidden="1" customHeight="1" x14ac:dyDescent="0.2">
      <c r="A55" s="9" t="s">
        <v>40</v>
      </c>
      <c r="B55" s="35"/>
      <c r="C55" s="1"/>
      <c r="D55" s="3"/>
      <c r="E55" s="35"/>
      <c r="F55" s="26"/>
      <c r="G55" s="26"/>
      <c r="H55" s="26"/>
      <c r="I55" s="26"/>
      <c r="J55" s="5"/>
      <c r="K55" s="5"/>
      <c r="L55" s="5"/>
      <c r="M55" s="5"/>
      <c r="N55" s="76"/>
      <c r="O55" s="76"/>
      <c r="P55" s="26">
        <f t="shared" si="0"/>
        <v>0</v>
      </c>
    </row>
    <row r="56" spans="1:16" ht="12.75" hidden="1" customHeight="1" x14ac:dyDescent="0.2">
      <c r="A56" s="9" t="s">
        <v>41</v>
      </c>
      <c r="B56" s="35">
        <v>3227</v>
      </c>
      <c r="C56" s="1"/>
      <c r="D56" s="3" t="s">
        <v>26</v>
      </c>
      <c r="E56" s="35"/>
      <c r="F56" s="26"/>
      <c r="G56" s="26"/>
      <c r="H56" s="26"/>
      <c r="I56" s="26"/>
      <c r="J56" s="5"/>
      <c r="K56" s="5"/>
      <c r="L56" s="5"/>
      <c r="M56" s="5"/>
      <c r="N56" s="76"/>
      <c r="O56" s="76"/>
      <c r="P56" s="26">
        <f t="shared" si="0"/>
        <v>0</v>
      </c>
    </row>
    <row r="57" spans="1:16" ht="12.75" customHeight="1" x14ac:dyDescent="0.2">
      <c r="A57" s="9"/>
      <c r="B57" s="35"/>
      <c r="C57" s="1"/>
      <c r="D57" s="3" t="s">
        <v>128</v>
      </c>
      <c r="E57" s="35"/>
      <c r="F57" s="26">
        <v>139.0935032185281</v>
      </c>
      <c r="G57" s="26">
        <v>139.0935032185281</v>
      </c>
      <c r="H57" s="26">
        <v>139.0935032185281</v>
      </c>
      <c r="I57" s="26">
        <f>2497.8-2334.56</f>
        <v>163.24000000000024</v>
      </c>
      <c r="J57" s="5"/>
      <c r="K57" s="5"/>
      <c r="L57" s="5"/>
      <c r="M57" s="5"/>
      <c r="N57" s="58"/>
      <c r="O57" s="58"/>
      <c r="P57" s="26">
        <f t="shared" si="0"/>
        <v>-24.146496781472138</v>
      </c>
    </row>
    <row r="58" spans="1:16" ht="12.75" customHeight="1" x14ac:dyDescent="0.2">
      <c r="A58" s="9"/>
      <c r="B58" s="35"/>
      <c r="C58" s="1"/>
      <c r="D58" s="3" t="s">
        <v>129</v>
      </c>
      <c r="E58" s="35"/>
      <c r="F58" s="26">
        <v>278.1870064370562</v>
      </c>
      <c r="G58" s="26">
        <v>278.1870064370562</v>
      </c>
      <c r="H58" s="26">
        <v>278.1870064370562</v>
      </c>
      <c r="I58" s="26">
        <v>278.1870064370562</v>
      </c>
      <c r="J58" s="5"/>
      <c r="K58" s="5"/>
      <c r="L58" s="5"/>
      <c r="M58" s="5"/>
      <c r="N58" s="58"/>
      <c r="O58" s="58"/>
      <c r="P58" s="26">
        <f t="shared" si="0"/>
        <v>0</v>
      </c>
    </row>
    <row r="59" spans="1:16" ht="12.75" customHeight="1" x14ac:dyDescent="0.2">
      <c r="A59" s="9"/>
      <c r="B59" s="35"/>
      <c r="C59" s="1"/>
      <c r="D59" s="3" t="s">
        <v>130</v>
      </c>
      <c r="E59" s="35"/>
      <c r="F59" s="26">
        <v>139.0935032185281</v>
      </c>
      <c r="G59" s="26">
        <v>139.0935032185281</v>
      </c>
      <c r="H59" s="26">
        <v>139.0935032185281</v>
      </c>
      <c r="I59" s="26">
        <v>1000</v>
      </c>
      <c r="J59" s="5"/>
      <c r="K59" s="5"/>
      <c r="L59" s="5"/>
      <c r="M59" s="5"/>
      <c r="N59" s="58"/>
      <c r="O59" s="58"/>
      <c r="P59" s="26">
        <f t="shared" si="0"/>
        <v>-860.9064967814719</v>
      </c>
    </row>
    <row r="60" spans="1:16" ht="12.75" customHeight="1" x14ac:dyDescent="0.2">
      <c r="A60" s="9"/>
      <c r="B60" s="35"/>
      <c r="C60" s="1"/>
      <c r="D60" s="3" t="s">
        <v>131</v>
      </c>
      <c r="E60" s="35"/>
      <c r="F60" s="26">
        <v>278.1870064370562</v>
      </c>
      <c r="G60" s="26">
        <v>278.1870064370562</v>
      </c>
      <c r="H60" s="26">
        <v>278.1870064370562</v>
      </c>
      <c r="I60" s="26">
        <v>500</v>
      </c>
      <c r="J60" s="5"/>
      <c r="K60" s="5"/>
      <c r="L60" s="5"/>
      <c r="M60" s="5"/>
      <c r="N60" s="58"/>
      <c r="O60" s="58"/>
      <c r="P60" s="26">
        <f t="shared" si="0"/>
        <v>-221.8129935629438</v>
      </c>
    </row>
    <row r="61" spans="1:16" ht="12.75" customHeight="1" x14ac:dyDescent="0.2">
      <c r="A61" s="9"/>
      <c r="B61" s="35"/>
      <c r="C61" s="1"/>
      <c r="D61" s="3" t="s">
        <v>132</v>
      </c>
      <c r="E61" s="35"/>
      <c r="F61" s="26">
        <v>556.3740128741124</v>
      </c>
      <c r="G61" s="26">
        <v>556.3740128741124</v>
      </c>
      <c r="H61" s="26">
        <v>556.3740128741124</v>
      </c>
      <c r="I61" s="26">
        <v>556.3740128741124</v>
      </c>
      <c r="J61" s="5"/>
      <c r="K61" s="5"/>
      <c r="L61" s="5"/>
      <c r="M61" s="5"/>
      <c r="N61" s="58"/>
      <c r="O61" s="58"/>
      <c r="P61" s="26">
        <f t="shared" si="0"/>
        <v>0</v>
      </c>
    </row>
    <row r="62" spans="1:16" x14ac:dyDescent="0.2">
      <c r="A62" s="21" t="s">
        <v>4</v>
      </c>
      <c r="B62" s="35">
        <v>3227</v>
      </c>
      <c r="C62" s="2"/>
      <c r="D62" s="19" t="s">
        <v>26</v>
      </c>
      <c r="E62" s="42"/>
      <c r="F62" s="27">
        <v>286.15037494193376</v>
      </c>
      <c r="G62" s="27">
        <v>286.15037494193376</v>
      </c>
      <c r="H62" s="27">
        <v>286.15037494193376</v>
      </c>
      <c r="I62" s="27">
        <f>88.07/1.25</f>
        <v>70.455999999999989</v>
      </c>
      <c r="J62" s="5"/>
      <c r="K62" s="5"/>
      <c r="L62" s="5"/>
      <c r="M62" s="5"/>
      <c r="N62" s="76"/>
      <c r="O62" s="76"/>
      <c r="P62" s="27">
        <f t="shared" si="0"/>
        <v>215.69437494193377</v>
      </c>
    </row>
    <row r="63" spans="1:16" x14ac:dyDescent="0.2">
      <c r="A63" s="81" t="s">
        <v>6</v>
      </c>
      <c r="B63" s="35">
        <v>3231</v>
      </c>
      <c r="C63" s="2"/>
      <c r="D63" s="19" t="s">
        <v>27</v>
      </c>
      <c r="E63" s="42"/>
      <c r="F63" s="27">
        <v>11467.250647023689</v>
      </c>
      <c r="G63" s="27">
        <v>11467.250647023689</v>
      </c>
      <c r="H63" s="27">
        <v>11467.250647023689</v>
      </c>
      <c r="I63" s="27">
        <f>SUM(I64:I66)</f>
        <v>9179.9280000000017</v>
      </c>
      <c r="J63" s="5"/>
      <c r="K63" s="5"/>
      <c r="L63" s="5"/>
      <c r="M63" s="5"/>
      <c r="N63" s="76"/>
      <c r="O63" s="76"/>
      <c r="P63" s="27">
        <f t="shared" si="0"/>
        <v>2287.3226470236878</v>
      </c>
    </row>
    <row r="64" spans="1:16" x14ac:dyDescent="0.2">
      <c r="A64" s="86"/>
      <c r="B64" s="83"/>
      <c r="C64" s="49"/>
      <c r="D64" s="3" t="s">
        <v>195</v>
      </c>
      <c r="E64" s="48" t="s">
        <v>162</v>
      </c>
      <c r="F64" s="26">
        <v>9173.8005176189527</v>
      </c>
      <c r="G64" s="26">
        <v>9173.8005176189527</v>
      </c>
      <c r="H64" s="26">
        <v>9173.8005176189527</v>
      </c>
      <c r="I64" s="26">
        <f>9437.18/1.25</f>
        <v>7549.7440000000006</v>
      </c>
      <c r="J64" s="5"/>
      <c r="K64" s="5"/>
      <c r="L64" s="5"/>
      <c r="M64" s="5"/>
      <c r="N64" s="58"/>
      <c r="O64" s="58"/>
      <c r="P64" s="26">
        <f t="shared" si="0"/>
        <v>1624.0565176189521</v>
      </c>
    </row>
    <row r="65" spans="1:18" x14ac:dyDescent="0.2">
      <c r="A65" s="86"/>
      <c r="B65" s="84"/>
      <c r="C65" s="29"/>
      <c r="D65" s="3" t="s">
        <v>61</v>
      </c>
      <c r="E65" s="35"/>
      <c r="F65" s="26">
        <v>573.36253235118454</v>
      </c>
      <c r="G65" s="26">
        <v>573.36253235118454</v>
      </c>
      <c r="H65" s="26">
        <v>573.36253235118454</v>
      </c>
      <c r="I65" s="26">
        <f>371.64</f>
        <v>371.64</v>
      </c>
      <c r="J65" s="5"/>
      <c r="K65" s="5"/>
      <c r="L65" s="5"/>
      <c r="M65" s="5"/>
      <c r="N65" s="58"/>
      <c r="O65" s="58"/>
      <c r="P65" s="26">
        <f t="shared" si="0"/>
        <v>201.72253235118455</v>
      </c>
    </row>
    <row r="66" spans="1:18" x14ac:dyDescent="0.2">
      <c r="A66" s="86"/>
      <c r="B66" s="84"/>
      <c r="C66" s="29"/>
      <c r="D66" s="3" t="s">
        <v>60</v>
      </c>
      <c r="E66" s="35"/>
      <c r="F66" s="26">
        <v>1720.0875970535533</v>
      </c>
      <c r="G66" s="26">
        <v>1720.0875970535533</v>
      </c>
      <c r="H66" s="26">
        <v>1720.0875970535533</v>
      </c>
      <c r="I66" s="26">
        <f>1540/1.25+33.18/1.25</f>
        <v>1258.5440000000001</v>
      </c>
      <c r="J66" s="5"/>
      <c r="K66" s="5"/>
      <c r="L66" s="5"/>
      <c r="M66" s="5"/>
      <c r="N66" s="58"/>
      <c r="O66" s="58"/>
      <c r="P66" s="26">
        <f t="shared" si="0"/>
        <v>461.54359705355319</v>
      </c>
    </row>
    <row r="67" spans="1:18" x14ac:dyDescent="0.2">
      <c r="A67" s="87"/>
      <c r="B67" s="88"/>
      <c r="C67" s="24"/>
      <c r="D67" s="3"/>
      <c r="E67" s="35"/>
      <c r="F67" s="26"/>
      <c r="G67" s="26"/>
      <c r="H67" s="26"/>
      <c r="I67" s="26"/>
      <c r="J67" s="5"/>
      <c r="K67" s="5"/>
      <c r="L67" s="5"/>
      <c r="M67" s="5"/>
      <c r="N67" s="58"/>
      <c r="O67" s="58"/>
      <c r="P67" s="26">
        <f t="shared" si="0"/>
        <v>0</v>
      </c>
    </row>
    <row r="68" spans="1:18" x14ac:dyDescent="0.2">
      <c r="A68" s="46" t="s">
        <v>8</v>
      </c>
      <c r="B68" s="65">
        <v>3233</v>
      </c>
      <c r="C68" s="24"/>
      <c r="D68" s="19" t="s">
        <v>133</v>
      </c>
      <c r="E68" s="35"/>
      <c r="F68" s="27">
        <v>63.706948039020503</v>
      </c>
      <c r="G68" s="27">
        <v>63.706948039020503</v>
      </c>
      <c r="H68" s="27">
        <v>63.706948039020503</v>
      </c>
      <c r="I68" s="27">
        <f>650.54/1.25</f>
        <v>520.43200000000002</v>
      </c>
      <c r="J68" s="5"/>
      <c r="K68" s="5"/>
      <c r="L68" s="5"/>
      <c r="M68" s="5"/>
      <c r="N68" s="58"/>
      <c r="O68" s="58"/>
      <c r="P68" s="27">
        <f t="shared" si="0"/>
        <v>-456.7250519609795</v>
      </c>
    </row>
    <row r="69" spans="1:18" x14ac:dyDescent="0.2">
      <c r="A69" s="81" t="s">
        <v>9</v>
      </c>
      <c r="B69" s="35">
        <v>3232</v>
      </c>
      <c r="C69" s="2"/>
      <c r="D69" s="19" t="s">
        <v>7</v>
      </c>
      <c r="E69" s="42"/>
      <c r="F69" s="27">
        <f>F73</f>
        <v>8942.2151436724398</v>
      </c>
      <c r="G69" s="27">
        <f>G73</f>
        <v>606454.84514367243</v>
      </c>
      <c r="H69" s="27">
        <f>H73</f>
        <v>26842.215143672438</v>
      </c>
      <c r="I69" s="27">
        <f>I73+I83+I84+I85+I86</f>
        <v>27604</v>
      </c>
      <c r="J69" s="5"/>
      <c r="K69" s="5"/>
      <c r="L69" s="5"/>
      <c r="M69" s="5"/>
      <c r="N69" s="76"/>
      <c r="O69" s="76"/>
      <c r="P69" s="27">
        <f t="shared" si="0"/>
        <v>-761.78485632756201</v>
      </c>
    </row>
    <row r="70" spans="1:18" ht="12.75" hidden="1" customHeight="1" x14ac:dyDescent="0.2">
      <c r="A70" s="82"/>
      <c r="B70" s="36"/>
      <c r="C70" s="32"/>
      <c r="D70" s="44"/>
      <c r="E70" s="117"/>
      <c r="F70" s="45"/>
      <c r="G70" s="45"/>
      <c r="H70" s="45"/>
      <c r="I70" s="45"/>
      <c r="J70" s="5"/>
      <c r="K70" s="5"/>
      <c r="L70" s="5"/>
      <c r="M70" s="5"/>
      <c r="N70" s="58"/>
      <c r="O70" s="58"/>
      <c r="P70" s="45">
        <f t="shared" si="0"/>
        <v>0</v>
      </c>
    </row>
    <row r="71" spans="1:18" ht="12.75" hidden="1" customHeight="1" x14ac:dyDescent="0.2">
      <c r="A71" s="82"/>
      <c r="B71" s="36"/>
      <c r="C71" s="32"/>
      <c r="D71" s="44"/>
      <c r="E71" s="117"/>
      <c r="F71" s="45"/>
      <c r="G71" s="45"/>
      <c r="H71" s="45"/>
      <c r="I71" s="45"/>
      <c r="J71" s="5"/>
      <c r="K71" s="5"/>
      <c r="L71" s="5"/>
      <c r="M71" s="5"/>
      <c r="N71" s="58"/>
      <c r="O71" s="58"/>
      <c r="P71" s="45">
        <f t="shared" si="0"/>
        <v>0</v>
      </c>
    </row>
    <row r="72" spans="1:18" ht="12.75" hidden="1" customHeight="1" x14ac:dyDescent="0.2">
      <c r="A72" s="82"/>
      <c r="B72" s="36"/>
      <c r="C72" s="32"/>
      <c r="D72" s="44"/>
      <c r="E72" s="117"/>
      <c r="F72" s="45"/>
      <c r="G72" s="45"/>
      <c r="H72" s="45"/>
      <c r="I72" s="45"/>
      <c r="J72" s="5"/>
      <c r="K72" s="5"/>
      <c r="L72" s="5"/>
      <c r="M72" s="5"/>
      <c r="N72" s="58"/>
      <c r="O72" s="58"/>
      <c r="P72" s="45">
        <f t="shared" si="0"/>
        <v>0</v>
      </c>
    </row>
    <row r="73" spans="1:18" x14ac:dyDescent="0.2">
      <c r="A73" s="82"/>
      <c r="B73" s="36"/>
      <c r="C73" s="32"/>
      <c r="D73" s="43" t="s">
        <v>112</v>
      </c>
      <c r="E73" s="42"/>
      <c r="F73" s="40">
        <f>SUM(F74:F83)</f>
        <v>8942.2151436724398</v>
      </c>
      <c r="G73" s="40">
        <f>SUM(G74:G86)</f>
        <v>606454.84514367243</v>
      </c>
      <c r="H73" s="40">
        <f>SUM(H74:H86)</f>
        <v>26842.215143672438</v>
      </c>
      <c r="I73" s="40">
        <f>SUM(I74:I82)</f>
        <v>9829</v>
      </c>
      <c r="J73" s="5"/>
      <c r="K73" s="5"/>
      <c r="L73" s="5"/>
      <c r="M73" s="5"/>
      <c r="N73" s="58"/>
      <c r="O73" s="58"/>
      <c r="P73" s="40">
        <f t="shared" si="0"/>
        <v>17013.215143672438</v>
      </c>
      <c r="R73" s="74"/>
    </row>
    <row r="74" spans="1:18" x14ac:dyDescent="0.2">
      <c r="A74" s="86"/>
      <c r="B74" s="83"/>
      <c r="C74" s="23"/>
      <c r="D74" s="3" t="s">
        <v>139</v>
      </c>
      <c r="E74" s="35"/>
      <c r="F74" s="26">
        <v>894.22151436724403</v>
      </c>
      <c r="G74" s="26">
        <v>894.22151436724403</v>
      </c>
      <c r="H74" s="26">
        <v>894.22151436724403</v>
      </c>
      <c r="I74" s="26">
        <v>1229</v>
      </c>
      <c r="J74" s="5"/>
      <c r="K74" s="10"/>
      <c r="L74" s="10"/>
      <c r="M74" s="10"/>
      <c r="N74" s="58"/>
      <c r="O74" s="58"/>
      <c r="P74" s="26">
        <f t="shared" si="0"/>
        <v>-334.77848563275597</v>
      </c>
    </row>
    <row r="75" spans="1:18" x14ac:dyDescent="0.2">
      <c r="A75" s="86"/>
      <c r="B75" s="84"/>
      <c r="C75" s="29"/>
      <c r="D75" s="3" t="s">
        <v>50</v>
      </c>
      <c r="E75" s="35"/>
      <c r="F75" s="26">
        <v>894.22151436724403</v>
      </c>
      <c r="G75" s="26">
        <v>894.22151436724403</v>
      </c>
      <c r="H75" s="26">
        <v>894.22151436724403</v>
      </c>
      <c r="I75" s="26">
        <v>200</v>
      </c>
      <c r="J75" s="5"/>
      <c r="K75" s="5"/>
      <c r="L75" s="5"/>
      <c r="M75" s="5"/>
      <c r="N75" s="58"/>
      <c r="O75" s="58"/>
      <c r="P75" s="26">
        <f t="shared" si="0"/>
        <v>694.22151436724403</v>
      </c>
    </row>
    <row r="76" spans="1:18" x14ac:dyDescent="0.2">
      <c r="A76" s="86"/>
      <c r="B76" s="84"/>
      <c r="C76" s="29"/>
      <c r="D76" s="3" t="s">
        <v>51</v>
      </c>
      <c r="E76" s="35"/>
      <c r="F76" s="26">
        <v>894.22151436724403</v>
      </c>
      <c r="G76" s="26">
        <v>894.22151436724403</v>
      </c>
      <c r="H76" s="26">
        <v>894.22151436724403</v>
      </c>
      <c r="I76" s="26">
        <v>800</v>
      </c>
      <c r="J76" s="5"/>
      <c r="K76" s="5"/>
      <c r="L76" s="5"/>
      <c r="M76" s="5"/>
      <c r="N76" s="58"/>
      <c r="O76" s="58"/>
      <c r="P76" s="26">
        <f t="shared" si="0"/>
        <v>94.221514367244026</v>
      </c>
      <c r="R76" s="74"/>
    </row>
    <row r="77" spans="1:18" x14ac:dyDescent="0.2">
      <c r="A77" s="86"/>
      <c r="B77" s="84"/>
      <c r="C77" s="29"/>
      <c r="D77" s="3" t="s">
        <v>52</v>
      </c>
      <c r="E77" s="35"/>
      <c r="F77" s="26">
        <v>894.22151436724403</v>
      </c>
      <c r="G77" s="26">
        <v>894.22151436724403</v>
      </c>
      <c r="H77" s="26">
        <v>894.22151436724403</v>
      </c>
      <c r="I77" s="26">
        <v>600</v>
      </c>
      <c r="J77" s="5"/>
      <c r="K77" s="5"/>
      <c r="L77" s="5"/>
      <c r="M77" s="5"/>
      <c r="N77" s="58"/>
      <c r="O77" s="58"/>
      <c r="P77" s="26">
        <f t="shared" si="0"/>
        <v>294.22151436724403</v>
      </c>
    </row>
    <row r="78" spans="1:18" x14ac:dyDescent="0.2">
      <c r="A78" s="86"/>
      <c r="B78" s="84"/>
      <c r="C78" s="29"/>
      <c r="D78" s="3" t="s">
        <v>196</v>
      </c>
      <c r="E78" s="35"/>
      <c r="F78" s="26">
        <v>894.22151436724403</v>
      </c>
      <c r="G78" s="26">
        <v>894.22151436724403</v>
      </c>
      <c r="H78" s="26">
        <v>894.22151436724403</v>
      </c>
      <c r="I78" s="26">
        <f>4500</f>
        <v>4500</v>
      </c>
      <c r="J78" s="5"/>
      <c r="K78" s="5"/>
      <c r="L78" s="5"/>
      <c r="M78" s="5"/>
      <c r="N78" s="58"/>
      <c r="O78" s="58"/>
      <c r="P78" s="26">
        <f t="shared" si="0"/>
        <v>-3605.7784856327562</v>
      </c>
    </row>
    <row r="79" spans="1:18" ht="24" x14ac:dyDescent="0.2">
      <c r="A79" s="86"/>
      <c r="B79" s="84"/>
      <c r="C79" s="29"/>
      <c r="D79" s="122" t="s">
        <v>113</v>
      </c>
      <c r="E79" s="35"/>
      <c r="F79" s="26">
        <v>1788.4430287344881</v>
      </c>
      <c r="G79" s="26">
        <v>1788.4430287344881</v>
      </c>
      <c r="H79" s="26">
        <v>1788.4430287344881</v>
      </c>
      <c r="I79" s="26">
        <v>100</v>
      </c>
      <c r="J79" s="5"/>
      <c r="K79" s="5"/>
      <c r="L79" s="5"/>
      <c r="M79" s="5"/>
      <c r="N79" s="58"/>
      <c r="O79" s="58"/>
      <c r="P79" s="26">
        <f t="shared" si="0"/>
        <v>1688.4430287344881</v>
      </c>
    </row>
    <row r="80" spans="1:18" x14ac:dyDescent="0.2">
      <c r="A80" s="86"/>
      <c r="B80" s="84"/>
      <c r="C80" s="29"/>
      <c r="D80" s="3" t="s">
        <v>57</v>
      </c>
      <c r="E80" s="35"/>
      <c r="F80" s="26">
        <v>894.22151436724403</v>
      </c>
      <c r="G80" s="26">
        <v>894.22151436724403</v>
      </c>
      <c r="H80" s="26">
        <v>894.22151436724403</v>
      </c>
      <c r="I80" s="26">
        <v>550</v>
      </c>
      <c r="J80" s="5"/>
      <c r="K80" s="5"/>
      <c r="L80" s="5"/>
      <c r="M80" s="5"/>
      <c r="N80" s="58"/>
      <c r="O80" s="58"/>
      <c r="P80" s="26">
        <f t="shared" ref="P80:P127" si="3">H80-I80</f>
        <v>344.22151436724403</v>
      </c>
    </row>
    <row r="81" spans="1:16" x14ac:dyDescent="0.2">
      <c r="A81" s="86"/>
      <c r="B81" s="84"/>
      <c r="C81" s="29"/>
      <c r="D81" s="3" t="s">
        <v>62</v>
      </c>
      <c r="E81" s="35"/>
      <c r="F81" s="26">
        <v>894.22151436724403</v>
      </c>
      <c r="G81" s="26">
        <v>894.22151436724403</v>
      </c>
      <c r="H81" s="26">
        <v>894.22151436724403</v>
      </c>
      <c r="I81" s="26">
        <v>900</v>
      </c>
      <c r="J81" s="5"/>
      <c r="K81" s="5"/>
      <c r="L81" s="5"/>
      <c r="M81" s="5"/>
      <c r="N81" s="58"/>
      <c r="O81" s="58"/>
      <c r="P81" s="26">
        <f t="shared" si="3"/>
        <v>-5.7784856327559737</v>
      </c>
    </row>
    <row r="82" spans="1:16" x14ac:dyDescent="0.2">
      <c r="A82" s="86"/>
      <c r="B82" s="84"/>
      <c r="C82" s="29"/>
      <c r="D82" s="3" t="s">
        <v>69</v>
      </c>
      <c r="E82" s="35"/>
      <c r="F82" s="26">
        <v>894.22151436724403</v>
      </c>
      <c r="G82" s="26">
        <v>894.22151436724403</v>
      </c>
      <c r="H82" s="26">
        <v>894.22151436724403</v>
      </c>
      <c r="I82" s="26">
        <v>950</v>
      </c>
      <c r="J82" s="5"/>
      <c r="K82" s="5"/>
      <c r="L82" s="5"/>
      <c r="M82" s="5"/>
      <c r="N82" s="58"/>
      <c r="O82" s="58"/>
      <c r="P82" s="26">
        <f t="shared" si="3"/>
        <v>-55.778485632755974</v>
      </c>
    </row>
    <row r="83" spans="1:16" ht="56.25" x14ac:dyDescent="0.2">
      <c r="A83" s="63"/>
      <c r="B83" s="61"/>
      <c r="C83" s="49" t="s">
        <v>166</v>
      </c>
      <c r="D83" s="52" t="s">
        <v>175</v>
      </c>
      <c r="E83" s="53" t="s">
        <v>186</v>
      </c>
      <c r="F83" s="26">
        <v>0</v>
      </c>
      <c r="G83" s="39">
        <v>4900</v>
      </c>
      <c r="H83" s="55">
        <v>4900</v>
      </c>
      <c r="I83" s="55">
        <v>4900</v>
      </c>
      <c r="J83" s="53" t="s">
        <v>173</v>
      </c>
      <c r="K83" s="53" t="s">
        <v>198</v>
      </c>
      <c r="L83" s="5" t="s">
        <v>177</v>
      </c>
      <c r="M83" s="5"/>
      <c r="N83" s="58"/>
      <c r="O83" s="58"/>
      <c r="P83" s="55">
        <f t="shared" si="3"/>
        <v>0</v>
      </c>
    </row>
    <row r="84" spans="1:16" ht="36" customHeight="1" x14ac:dyDescent="0.2">
      <c r="A84" s="64"/>
      <c r="B84" s="65"/>
      <c r="C84" s="56" t="s">
        <v>181</v>
      </c>
      <c r="D84" s="118" t="s">
        <v>182</v>
      </c>
      <c r="E84" s="53" t="s">
        <v>188</v>
      </c>
      <c r="F84" s="26">
        <v>0</v>
      </c>
      <c r="G84" s="39">
        <v>4500</v>
      </c>
      <c r="H84" s="55">
        <v>0</v>
      </c>
      <c r="I84" s="55">
        <v>0</v>
      </c>
      <c r="J84" s="53" t="s">
        <v>173</v>
      </c>
      <c r="K84" s="53" t="s">
        <v>176</v>
      </c>
      <c r="L84" s="5" t="s">
        <v>178</v>
      </c>
      <c r="M84" s="5"/>
      <c r="N84" s="58"/>
      <c r="O84" s="58"/>
      <c r="P84" s="55">
        <f t="shared" si="3"/>
        <v>0</v>
      </c>
    </row>
    <row r="85" spans="1:16" ht="36" customHeight="1" x14ac:dyDescent="0.2">
      <c r="A85" s="64"/>
      <c r="B85" s="65"/>
      <c r="C85" s="56" t="s">
        <v>180</v>
      </c>
      <c r="D85" s="118" t="s">
        <v>171</v>
      </c>
      <c r="E85" s="35" t="s">
        <v>187</v>
      </c>
      <c r="F85" s="26">
        <v>0</v>
      </c>
      <c r="G85" s="39">
        <v>588112.63</v>
      </c>
      <c r="H85" s="55">
        <v>0</v>
      </c>
      <c r="I85" s="55">
        <v>0</v>
      </c>
      <c r="J85" s="53" t="s">
        <v>173</v>
      </c>
      <c r="K85" s="53" t="s">
        <v>174</v>
      </c>
      <c r="L85" s="5" t="s">
        <v>178</v>
      </c>
      <c r="M85" s="5"/>
      <c r="N85" s="58"/>
      <c r="O85" s="58"/>
      <c r="P85" s="55">
        <f t="shared" si="3"/>
        <v>0</v>
      </c>
    </row>
    <row r="86" spans="1:16" ht="36" customHeight="1" x14ac:dyDescent="0.2">
      <c r="A86" s="64"/>
      <c r="B86" s="65"/>
      <c r="C86" s="49" t="s">
        <v>180</v>
      </c>
      <c r="D86" s="118" t="s">
        <v>190</v>
      </c>
      <c r="E86" s="35" t="s">
        <v>187</v>
      </c>
      <c r="F86" s="26">
        <v>0</v>
      </c>
      <c r="G86" s="39">
        <v>0</v>
      </c>
      <c r="H86" s="55">
        <v>13000</v>
      </c>
      <c r="I86" s="55">
        <v>12875</v>
      </c>
      <c r="J86" s="53" t="s">
        <v>173</v>
      </c>
      <c r="K86" s="53" t="s">
        <v>197</v>
      </c>
      <c r="L86" s="5" t="s">
        <v>191</v>
      </c>
      <c r="M86" s="5"/>
      <c r="N86" s="58"/>
      <c r="O86" s="58"/>
      <c r="P86" s="55">
        <f t="shared" si="3"/>
        <v>125</v>
      </c>
    </row>
    <row r="87" spans="1:16" x14ac:dyDescent="0.2">
      <c r="A87" s="81" t="s">
        <v>10</v>
      </c>
      <c r="B87" s="35">
        <v>3234</v>
      </c>
      <c r="C87" s="1"/>
      <c r="D87" s="19" t="s">
        <v>11</v>
      </c>
      <c r="E87" s="42"/>
      <c r="F87" s="27">
        <v>2972.990908487624</v>
      </c>
      <c r="G87" s="27">
        <v>2972.990908487624</v>
      </c>
      <c r="H87" s="27">
        <v>2972.990908487624</v>
      </c>
      <c r="I87" s="27">
        <f>SUM(I88:I92)</f>
        <v>3228.1895221238942</v>
      </c>
      <c r="J87" s="5"/>
      <c r="K87" s="5"/>
      <c r="L87" s="5"/>
      <c r="M87" s="5"/>
      <c r="N87" s="76"/>
      <c r="O87" s="76"/>
      <c r="P87" s="27">
        <f t="shared" si="3"/>
        <v>-255.19861363627024</v>
      </c>
    </row>
    <row r="88" spans="1:16" x14ac:dyDescent="0.2">
      <c r="A88" s="86"/>
      <c r="B88" s="83"/>
      <c r="C88" s="23"/>
      <c r="D88" s="3" t="s">
        <v>114</v>
      </c>
      <c r="E88" s="35"/>
      <c r="F88" s="26">
        <v>1486.4954542438118</v>
      </c>
      <c r="G88" s="26">
        <v>1486.4954542438118</v>
      </c>
      <c r="H88" s="26">
        <v>1486.4954542438118</v>
      </c>
      <c r="I88" s="26">
        <f>1722.37/1.13</f>
        <v>1524.2212389380531</v>
      </c>
      <c r="J88" s="5"/>
      <c r="K88" s="5"/>
      <c r="L88" s="5"/>
      <c r="M88" s="5"/>
      <c r="N88" s="76"/>
      <c r="O88" s="76"/>
      <c r="P88" s="26">
        <f t="shared" si="3"/>
        <v>-37.725784694241383</v>
      </c>
    </row>
    <row r="89" spans="1:16" x14ac:dyDescent="0.2">
      <c r="A89" s="86"/>
      <c r="B89" s="84"/>
      <c r="C89" s="29"/>
      <c r="D89" s="3" t="s">
        <v>53</v>
      </c>
      <c r="E89" s="35"/>
      <c r="F89" s="26">
        <v>891.89727254628701</v>
      </c>
      <c r="G89" s="26">
        <v>891.89727254628701</v>
      </c>
      <c r="H89" s="26">
        <v>891.89727254628701</v>
      </c>
      <c r="I89" s="26">
        <f>808.33/1.13</f>
        <v>715.33628318584078</v>
      </c>
      <c r="J89" s="5"/>
      <c r="K89" s="5"/>
      <c r="L89" s="5"/>
      <c r="M89" s="5"/>
      <c r="N89" s="58"/>
      <c r="O89" s="58"/>
      <c r="P89" s="26">
        <f t="shared" si="3"/>
        <v>176.56098936044623</v>
      </c>
    </row>
    <row r="90" spans="1:16" x14ac:dyDescent="0.2">
      <c r="A90" s="86"/>
      <c r="B90" s="84"/>
      <c r="C90" s="29"/>
      <c r="D90" s="3" t="s">
        <v>54</v>
      </c>
      <c r="E90" s="35"/>
      <c r="F90" s="26">
        <v>148.64954542438119</v>
      </c>
      <c r="G90" s="26">
        <v>148.64954542438119</v>
      </c>
      <c r="H90" s="26">
        <v>148.64954542438119</v>
      </c>
      <c r="I90" s="26">
        <f>52.59/1.25</f>
        <v>42.072000000000003</v>
      </c>
      <c r="J90" s="5"/>
      <c r="K90" s="5"/>
      <c r="L90" s="5"/>
      <c r="M90" s="5"/>
      <c r="N90" s="58"/>
      <c r="O90" s="58"/>
      <c r="P90" s="26">
        <f t="shared" si="3"/>
        <v>106.57754542438119</v>
      </c>
    </row>
    <row r="91" spans="1:16" x14ac:dyDescent="0.2">
      <c r="A91" s="86"/>
      <c r="B91" s="84"/>
      <c r="C91" s="29"/>
      <c r="D91" s="3" t="s">
        <v>55</v>
      </c>
      <c r="E91" s="35"/>
      <c r="F91" s="26">
        <v>148.64954542438119</v>
      </c>
      <c r="G91" s="26">
        <v>148.64954542438119</v>
      </c>
      <c r="H91" s="26">
        <v>148.64954542438119</v>
      </c>
      <c r="I91" s="26">
        <f>254.45/1.25</f>
        <v>203.56</v>
      </c>
      <c r="J91" s="5"/>
      <c r="K91" s="5"/>
      <c r="L91" s="5"/>
      <c r="M91" s="5"/>
      <c r="N91" s="58"/>
      <c r="O91" s="58"/>
      <c r="P91" s="26">
        <f t="shared" si="3"/>
        <v>-54.910454575618814</v>
      </c>
    </row>
    <row r="92" spans="1:16" x14ac:dyDescent="0.2">
      <c r="A92" s="87"/>
      <c r="B92" s="88"/>
      <c r="C92" s="24"/>
      <c r="D92" s="3" t="s">
        <v>115</v>
      </c>
      <c r="E92" s="35"/>
      <c r="F92" s="26">
        <v>297.29909084876238</v>
      </c>
      <c r="G92" s="26">
        <v>297.29909084876238</v>
      </c>
      <c r="H92" s="26">
        <v>297.29909084876238</v>
      </c>
      <c r="I92" s="26">
        <v>743</v>
      </c>
      <c r="J92" s="5"/>
      <c r="K92" s="5"/>
      <c r="L92" s="5"/>
      <c r="M92" s="5"/>
      <c r="N92" s="58"/>
      <c r="O92" s="58"/>
      <c r="P92" s="26">
        <f t="shared" si="3"/>
        <v>-445.70090915123762</v>
      </c>
    </row>
    <row r="93" spans="1:16" x14ac:dyDescent="0.2">
      <c r="A93" s="21" t="s">
        <v>12</v>
      </c>
      <c r="B93" s="35">
        <v>3235</v>
      </c>
      <c r="C93" s="2"/>
      <c r="D93" s="19" t="s">
        <v>44</v>
      </c>
      <c r="E93" s="42"/>
      <c r="F93" s="27">
        <v>464.52982945119118</v>
      </c>
      <c r="G93" s="27">
        <v>464.52982945119118</v>
      </c>
      <c r="H93" s="27">
        <v>464.52982945119118</v>
      </c>
      <c r="I93" s="27">
        <f>3487/1.05</f>
        <v>3320.9523809523807</v>
      </c>
      <c r="J93" s="5"/>
      <c r="K93" s="5"/>
      <c r="L93" s="5"/>
      <c r="M93" s="5"/>
      <c r="N93" s="58"/>
      <c r="O93" s="58"/>
      <c r="P93" s="27">
        <f t="shared" si="3"/>
        <v>-2856.4225515011894</v>
      </c>
    </row>
    <row r="94" spans="1:16" x14ac:dyDescent="0.2">
      <c r="A94" s="81" t="s">
        <v>14</v>
      </c>
      <c r="B94" s="35">
        <v>3236</v>
      </c>
      <c r="C94" s="2"/>
      <c r="D94" s="19" t="s">
        <v>21</v>
      </c>
      <c r="E94" s="42"/>
      <c r="F94" s="27">
        <v>2256.2877430486424</v>
      </c>
      <c r="G94" s="27">
        <v>2256.2877430486424</v>
      </c>
      <c r="H94" s="27">
        <v>2256.2877430486424</v>
      </c>
      <c r="I94" s="27">
        <v>2256.2877430486424</v>
      </c>
      <c r="J94" s="5"/>
      <c r="K94" s="5"/>
      <c r="L94" s="5"/>
      <c r="M94" s="5"/>
      <c r="N94" s="76"/>
      <c r="O94" s="76"/>
      <c r="P94" s="27">
        <f t="shared" si="3"/>
        <v>0</v>
      </c>
    </row>
    <row r="95" spans="1:16" x14ac:dyDescent="0.2">
      <c r="A95" s="86"/>
      <c r="B95" s="83"/>
      <c r="C95" s="25"/>
      <c r="D95" s="3" t="s">
        <v>64</v>
      </c>
      <c r="E95" s="35"/>
      <c r="F95" s="26">
        <v>2030.6589687437781</v>
      </c>
      <c r="G95" s="26">
        <v>2030.6589687437781</v>
      </c>
      <c r="H95" s="26">
        <v>2030.6589687437781</v>
      </c>
      <c r="I95" s="26">
        <v>2707.59</v>
      </c>
      <c r="J95" s="5"/>
      <c r="K95" s="5"/>
      <c r="L95" s="5"/>
      <c r="M95" s="5"/>
      <c r="N95" s="58"/>
      <c r="O95" s="58"/>
      <c r="P95" s="26">
        <f t="shared" si="3"/>
        <v>-676.93103125622201</v>
      </c>
    </row>
    <row r="96" spans="1:16" x14ac:dyDescent="0.2">
      <c r="A96" s="87"/>
      <c r="B96" s="88"/>
      <c r="C96" s="24"/>
      <c r="D96" s="3" t="s">
        <v>116</v>
      </c>
      <c r="E96" s="35"/>
      <c r="F96" s="26">
        <v>225.62877430486424</v>
      </c>
      <c r="G96" s="26">
        <v>225.62877430486424</v>
      </c>
      <c r="H96" s="26">
        <v>225.62877430486424</v>
      </c>
      <c r="I96" s="26">
        <f>87.6/1.25+411.21/1.25</f>
        <v>399.04799999999994</v>
      </c>
      <c r="J96" s="5"/>
      <c r="K96" s="5"/>
      <c r="L96" s="5"/>
      <c r="M96" s="5"/>
      <c r="N96" s="58"/>
      <c r="O96" s="58"/>
      <c r="P96" s="26">
        <f t="shared" si="3"/>
        <v>-173.41922569513571</v>
      </c>
    </row>
    <row r="97" spans="1:16" x14ac:dyDescent="0.2">
      <c r="A97" s="81" t="s">
        <v>15</v>
      </c>
      <c r="B97" s="35">
        <v>3237</v>
      </c>
      <c r="C97" s="2"/>
      <c r="D97" s="19" t="s">
        <v>63</v>
      </c>
      <c r="E97" s="42"/>
      <c r="F97" s="27">
        <v>663.61404207313035</v>
      </c>
      <c r="G97" s="27">
        <v>663.61404207313035</v>
      </c>
      <c r="H97" s="27">
        <v>663.61404207313035</v>
      </c>
      <c r="I97" s="27">
        <f>SUM(I98:I99)</f>
        <v>768.29</v>
      </c>
      <c r="J97" s="5"/>
      <c r="K97" s="5"/>
      <c r="L97" s="5"/>
      <c r="M97" s="5"/>
      <c r="N97" s="76"/>
      <c r="O97" s="76"/>
      <c r="P97" s="27">
        <f t="shared" si="3"/>
        <v>-104.67595792686961</v>
      </c>
    </row>
    <row r="98" spans="1:16" x14ac:dyDescent="0.2">
      <c r="A98" s="86"/>
      <c r="B98" s="83"/>
      <c r="C98" s="23"/>
      <c r="D98" s="3" t="s">
        <v>118</v>
      </c>
      <c r="E98" s="35"/>
      <c r="F98" s="26">
        <v>132.72280841462606</v>
      </c>
      <c r="G98" s="26">
        <v>132.72280841462606</v>
      </c>
      <c r="H98" s="26">
        <v>132.72280841462606</v>
      </c>
      <c r="I98" s="26">
        <v>244.29</v>
      </c>
      <c r="J98" s="5"/>
      <c r="K98" s="5"/>
      <c r="L98" s="5"/>
      <c r="M98" s="5"/>
      <c r="N98" s="76"/>
      <c r="O98" s="76"/>
      <c r="P98" s="26">
        <f t="shared" si="3"/>
        <v>-111.56719158537393</v>
      </c>
    </row>
    <row r="99" spans="1:16" ht="24" x14ac:dyDescent="0.2">
      <c r="A99" s="87"/>
      <c r="B99" s="88"/>
      <c r="C99" s="24"/>
      <c r="D99" s="122" t="s">
        <v>117</v>
      </c>
      <c r="E99" s="35"/>
      <c r="F99" s="26">
        <v>530.89123365850423</v>
      </c>
      <c r="G99" s="26">
        <v>530.89123365850423</v>
      </c>
      <c r="H99" s="26">
        <v>530.89123365850423</v>
      </c>
      <c r="I99" s="26">
        <f>655/1.25</f>
        <v>524</v>
      </c>
      <c r="J99" s="5"/>
      <c r="K99" s="5"/>
      <c r="L99" s="5"/>
      <c r="M99" s="5"/>
      <c r="N99" s="77"/>
      <c r="O99" s="76"/>
      <c r="P99" s="26">
        <f t="shared" si="3"/>
        <v>6.891233658504234</v>
      </c>
    </row>
    <row r="100" spans="1:16" x14ac:dyDescent="0.2">
      <c r="A100" s="81" t="s">
        <v>17</v>
      </c>
      <c r="B100" s="35">
        <v>3238</v>
      </c>
      <c r="C100" s="2"/>
      <c r="D100" s="19" t="s">
        <v>13</v>
      </c>
      <c r="E100" s="42"/>
      <c r="F100" s="27">
        <v>1795.792686973256</v>
      </c>
      <c r="G100" s="27">
        <v>1795.792686973256</v>
      </c>
      <c r="H100" s="27">
        <v>1795.792686973256</v>
      </c>
      <c r="I100" s="119">
        <f>I101</f>
        <v>1973.0639999999999</v>
      </c>
      <c r="J100" s="5"/>
      <c r="K100" s="5"/>
      <c r="L100" s="5"/>
      <c r="M100" s="5"/>
      <c r="N100" s="76"/>
      <c r="O100" s="76"/>
      <c r="P100" s="27">
        <f t="shared" si="3"/>
        <v>-177.27131302674388</v>
      </c>
    </row>
    <row r="101" spans="1:16" x14ac:dyDescent="0.2">
      <c r="A101" s="82"/>
      <c r="B101" s="60"/>
      <c r="C101" s="25"/>
      <c r="D101" s="3" t="s">
        <v>119</v>
      </c>
      <c r="E101" s="116"/>
      <c r="F101" s="26">
        <v>1795.792686973256</v>
      </c>
      <c r="G101" s="26">
        <v>1795.792686973256</v>
      </c>
      <c r="H101" s="26">
        <v>1795.792686973256</v>
      </c>
      <c r="I101" s="120">
        <f>2466.33/1.25</f>
        <v>1973.0639999999999</v>
      </c>
      <c r="J101" s="5"/>
      <c r="K101" s="5"/>
      <c r="L101" s="5"/>
      <c r="M101" s="5"/>
      <c r="N101" s="58"/>
      <c r="O101" s="58"/>
      <c r="P101" s="26">
        <f t="shared" si="3"/>
        <v>-177.27131302674388</v>
      </c>
    </row>
    <row r="102" spans="1:16" x14ac:dyDescent="0.2">
      <c r="A102" s="21" t="s">
        <v>18</v>
      </c>
      <c r="B102" s="37">
        <v>3239</v>
      </c>
      <c r="C102" s="22"/>
      <c r="D102" s="19" t="s">
        <v>28</v>
      </c>
      <c r="E102" s="42"/>
      <c r="F102" s="27">
        <v>2197.8897073462076</v>
      </c>
      <c r="G102" s="27">
        <v>2197.8897073462076</v>
      </c>
      <c r="H102" s="27">
        <v>2197.8897073462076</v>
      </c>
      <c r="I102" s="119">
        <f>250/1.25</f>
        <v>200</v>
      </c>
      <c r="J102" s="5"/>
      <c r="K102" s="5"/>
      <c r="L102" s="5"/>
      <c r="M102" s="5"/>
      <c r="N102" s="76"/>
      <c r="O102" s="76"/>
      <c r="P102" s="27">
        <f t="shared" si="3"/>
        <v>1997.8897073462076</v>
      </c>
    </row>
    <row r="103" spans="1:16" x14ac:dyDescent="0.2">
      <c r="A103" s="21" t="s">
        <v>19</v>
      </c>
      <c r="B103" s="37">
        <v>3292</v>
      </c>
      <c r="C103" s="22"/>
      <c r="D103" s="19" t="s">
        <v>135</v>
      </c>
      <c r="E103" s="42"/>
      <c r="F103" s="27">
        <v>1475.8776295706416</v>
      </c>
      <c r="G103" s="27">
        <v>1475.8776295706416</v>
      </c>
      <c r="H103" s="27">
        <v>1475.8776295706416</v>
      </c>
      <c r="I103" s="119">
        <v>1724</v>
      </c>
      <c r="J103" s="5"/>
      <c r="K103" s="5"/>
      <c r="L103" s="5"/>
      <c r="M103" s="5"/>
      <c r="N103" s="58"/>
      <c r="O103" s="58"/>
      <c r="P103" s="27">
        <f t="shared" si="3"/>
        <v>-248.1223704293584</v>
      </c>
    </row>
    <row r="104" spans="1:16" x14ac:dyDescent="0.2">
      <c r="A104" s="21" t="s">
        <v>142</v>
      </c>
      <c r="B104" s="35">
        <v>3293</v>
      </c>
      <c r="C104" s="2"/>
      <c r="D104" s="19" t="s">
        <v>56</v>
      </c>
      <c r="E104" s="42"/>
      <c r="F104" s="27">
        <v>692.77642842922546</v>
      </c>
      <c r="G104" s="27">
        <v>692.77642842922546</v>
      </c>
      <c r="H104" s="27">
        <v>692.77642842922546</v>
      </c>
      <c r="I104" s="119">
        <f>322.46/1.25</f>
        <v>257.96799999999996</v>
      </c>
      <c r="J104" s="5"/>
      <c r="K104" s="5"/>
      <c r="L104" s="5"/>
      <c r="M104" s="5"/>
      <c r="N104" s="58"/>
      <c r="O104" s="58"/>
      <c r="P104" s="27">
        <f t="shared" si="3"/>
        <v>434.8084284292255</v>
      </c>
    </row>
    <row r="105" spans="1:16" x14ac:dyDescent="0.2">
      <c r="A105" s="21" t="s">
        <v>143</v>
      </c>
      <c r="B105" s="35">
        <v>3294</v>
      </c>
      <c r="C105" s="2"/>
      <c r="D105" s="19" t="s">
        <v>16</v>
      </c>
      <c r="E105" s="42"/>
      <c r="F105" s="27">
        <v>122.10498374145595</v>
      </c>
      <c r="G105" s="27">
        <v>122.10498374145595</v>
      </c>
      <c r="H105" s="27">
        <v>122.10498374145595</v>
      </c>
      <c r="I105" s="119">
        <f>163.09/1.25</f>
        <v>130.47200000000001</v>
      </c>
      <c r="J105" s="5"/>
      <c r="K105" s="5"/>
      <c r="L105" s="5"/>
      <c r="M105" s="5"/>
      <c r="N105" s="76"/>
      <c r="O105" s="76"/>
      <c r="P105" s="27">
        <f t="shared" si="3"/>
        <v>-8.3670162585440551</v>
      </c>
    </row>
    <row r="106" spans="1:16" x14ac:dyDescent="0.2">
      <c r="A106" s="21" t="s">
        <v>22</v>
      </c>
      <c r="B106" s="35">
        <v>3295</v>
      </c>
      <c r="C106" s="2"/>
      <c r="D106" s="19" t="s">
        <v>45</v>
      </c>
      <c r="E106" s="42"/>
      <c r="F106" s="27">
        <v>106.17824673170085</v>
      </c>
      <c r="G106" s="27">
        <v>106.17824673170085</v>
      </c>
      <c r="H106" s="27">
        <v>106.17824673170085</v>
      </c>
      <c r="I106" s="119">
        <f>103/1.25</f>
        <v>82.4</v>
      </c>
      <c r="J106" s="5"/>
      <c r="K106" s="5"/>
      <c r="L106" s="5"/>
      <c r="M106" s="5"/>
      <c r="N106" s="58"/>
      <c r="O106" s="58"/>
      <c r="P106" s="27">
        <f t="shared" si="3"/>
        <v>23.778246731700847</v>
      </c>
    </row>
    <row r="107" spans="1:16" x14ac:dyDescent="0.2">
      <c r="A107" s="21" t="s">
        <v>30</v>
      </c>
      <c r="B107" s="35">
        <v>3296</v>
      </c>
      <c r="C107" s="2"/>
      <c r="D107" s="19" t="s">
        <v>46</v>
      </c>
      <c r="E107" s="42"/>
      <c r="F107" s="27">
        <v>0</v>
      </c>
      <c r="G107" s="27">
        <v>0</v>
      </c>
      <c r="H107" s="27">
        <v>0</v>
      </c>
      <c r="I107" s="119">
        <v>0</v>
      </c>
      <c r="J107" s="5"/>
      <c r="K107" s="5"/>
      <c r="L107" s="5"/>
      <c r="M107" s="5"/>
      <c r="N107" s="58"/>
      <c r="O107" s="58"/>
      <c r="P107" s="27">
        <f t="shared" si="3"/>
        <v>0</v>
      </c>
    </row>
    <row r="108" spans="1:16" x14ac:dyDescent="0.2">
      <c r="A108" s="81" t="s">
        <v>33</v>
      </c>
      <c r="B108" s="35">
        <v>3299</v>
      </c>
      <c r="C108" s="2"/>
      <c r="D108" s="19" t="s">
        <v>20</v>
      </c>
      <c r="E108" s="42"/>
      <c r="F108" s="27">
        <v>3501.2643174729583</v>
      </c>
      <c r="G108" s="27">
        <v>3501.2643174729583</v>
      </c>
      <c r="H108" s="27">
        <v>3501.2643174729583</v>
      </c>
      <c r="I108" s="119">
        <f>SUM(I109:I112)</f>
        <v>4996.1119999999992</v>
      </c>
      <c r="J108" s="5"/>
      <c r="K108" s="5"/>
      <c r="L108" s="5"/>
      <c r="M108" s="5"/>
      <c r="N108" s="76"/>
      <c r="O108" s="76"/>
      <c r="P108" s="27">
        <f t="shared" si="3"/>
        <v>-1494.8476825270409</v>
      </c>
    </row>
    <row r="109" spans="1:16" x14ac:dyDescent="0.2">
      <c r="A109" s="82"/>
      <c r="B109" s="83"/>
      <c r="C109" s="23"/>
      <c r="D109" s="3" t="s">
        <v>120</v>
      </c>
      <c r="E109" s="35"/>
      <c r="F109" s="26">
        <v>350.12643174729578</v>
      </c>
      <c r="G109" s="26">
        <v>350.12643174729578</v>
      </c>
      <c r="H109" s="26">
        <v>350.12643174729578</v>
      </c>
      <c r="I109" s="120">
        <f>159.7/1.25</f>
        <v>127.75999999999999</v>
      </c>
      <c r="J109" s="5"/>
      <c r="K109" s="5"/>
      <c r="L109" s="5"/>
      <c r="M109" s="5"/>
      <c r="N109" s="58"/>
      <c r="O109" s="58"/>
      <c r="P109" s="26">
        <f t="shared" si="3"/>
        <v>222.36643174729579</v>
      </c>
    </row>
    <row r="110" spans="1:16" x14ac:dyDescent="0.2">
      <c r="A110" s="82"/>
      <c r="B110" s="84"/>
      <c r="C110" s="29"/>
      <c r="D110" s="3" t="s">
        <v>199</v>
      </c>
      <c r="E110" s="35"/>
      <c r="F110" s="26">
        <v>1575.5689428628311</v>
      </c>
      <c r="G110" s="26">
        <v>1575.5689428628311</v>
      </c>
      <c r="H110" s="26">
        <v>1575.5689428628311</v>
      </c>
      <c r="I110" s="120">
        <f>1261.99/1.25</f>
        <v>1009.592</v>
      </c>
      <c r="J110" s="5"/>
      <c r="K110" s="5"/>
      <c r="L110" s="5"/>
      <c r="M110" s="5"/>
      <c r="N110" s="58"/>
      <c r="O110" s="58"/>
      <c r="P110" s="26">
        <f t="shared" si="3"/>
        <v>565.97694286283115</v>
      </c>
    </row>
    <row r="111" spans="1:16" x14ac:dyDescent="0.2">
      <c r="A111" s="82"/>
      <c r="B111" s="84"/>
      <c r="C111" s="29"/>
      <c r="D111" s="3" t="s">
        <v>200</v>
      </c>
      <c r="E111" s="35"/>
      <c r="F111" s="26">
        <v>525.18964762094367</v>
      </c>
      <c r="G111" s="26">
        <v>525.18964762094367</v>
      </c>
      <c r="H111" s="26">
        <v>525.18964762094367</v>
      </c>
      <c r="I111" s="120">
        <f>280/1.25</f>
        <v>224</v>
      </c>
      <c r="J111" s="5"/>
      <c r="K111" s="5"/>
      <c r="L111" s="5"/>
      <c r="M111" s="5"/>
      <c r="N111" s="58"/>
      <c r="O111" s="58"/>
      <c r="P111" s="26">
        <f t="shared" si="3"/>
        <v>301.18964762094367</v>
      </c>
    </row>
    <row r="112" spans="1:16" x14ac:dyDescent="0.2">
      <c r="A112" s="82"/>
      <c r="B112" s="84"/>
      <c r="C112" s="29"/>
      <c r="D112" s="3" t="s">
        <v>121</v>
      </c>
      <c r="E112" s="35"/>
      <c r="F112" s="26">
        <v>1050.3792952418873</v>
      </c>
      <c r="G112" s="26">
        <v>1050.3792952418873</v>
      </c>
      <c r="H112" s="26">
        <v>1050.3792952418873</v>
      </c>
      <c r="I112" s="120">
        <f>4996.11-1361.35</f>
        <v>3634.7599999999998</v>
      </c>
      <c r="J112" s="5"/>
      <c r="K112" s="5"/>
      <c r="L112" s="5"/>
      <c r="M112" s="5"/>
      <c r="N112" s="58"/>
      <c r="O112" s="58"/>
      <c r="P112" s="26">
        <f t="shared" si="3"/>
        <v>-2584.3807047581122</v>
      </c>
    </row>
    <row r="113" spans="1:16" x14ac:dyDescent="0.2">
      <c r="A113" s="81" t="s">
        <v>34</v>
      </c>
      <c r="B113" s="35">
        <v>3431</v>
      </c>
      <c r="C113" s="2"/>
      <c r="D113" s="19" t="s">
        <v>29</v>
      </c>
      <c r="E113" s="42"/>
      <c r="F113" s="27">
        <v>1247.5943990974849</v>
      </c>
      <c r="G113" s="27">
        <v>1247.5943990974849</v>
      </c>
      <c r="H113" s="27">
        <v>1247.5943990974849</v>
      </c>
      <c r="I113" s="119">
        <v>929.72</v>
      </c>
      <c r="J113" s="5"/>
      <c r="K113" s="5"/>
      <c r="L113" s="5"/>
      <c r="M113" s="5"/>
      <c r="N113" s="76"/>
      <c r="O113" s="76"/>
      <c r="P113" s="27">
        <f t="shared" si="3"/>
        <v>317.87439909748491</v>
      </c>
    </row>
    <row r="114" spans="1:16" x14ac:dyDescent="0.2">
      <c r="A114" s="85"/>
      <c r="B114" s="35"/>
      <c r="C114" s="1"/>
      <c r="D114" s="3" t="s">
        <v>70</v>
      </c>
      <c r="E114" s="35"/>
      <c r="F114" s="26">
        <v>1247.5943990974849</v>
      </c>
      <c r="G114" s="26">
        <v>1247.5943990974849</v>
      </c>
      <c r="H114" s="26">
        <v>1247.5943990974849</v>
      </c>
      <c r="I114" s="120">
        <f>I113</f>
        <v>929.72</v>
      </c>
      <c r="J114" s="5"/>
      <c r="K114" s="5"/>
      <c r="L114" s="5"/>
      <c r="M114" s="5"/>
      <c r="N114" s="58"/>
      <c r="O114" s="58"/>
      <c r="P114" s="26">
        <f t="shared" si="3"/>
        <v>317.87439909748491</v>
      </c>
    </row>
    <row r="115" spans="1:16" x14ac:dyDescent="0.2">
      <c r="A115" s="21" t="s">
        <v>35</v>
      </c>
      <c r="B115" s="35">
        <v>4212</v>
      </c>
      <c r="C115" s="2"/>
      <c r="D115" s="19" t="s">
        <v>43</v>
      </c>
      <c r="E115" s="42"/>
      <c r="F115" s="27">
        <v>0</v>
      </c>
      <c r="G115" s="27">
        <v>0</v>
      </c>
      <c r="H115" s="27">
        <v>0</v>
      </c>
      <c r="I115" s="119">
        <v>0</v>
      </c>
      <c r="J115" s="5"/>
      <c r="K115" s="5"/>
      <c r="L115" s="5"/>
      <c r="M115" s="5"/>
      <c r="N115" s="58"/>
      <c r="O115" s="58"/>
      <c r="P115" s="27">
        <f t="shared" si="3"/>
        <v>0</v>
      </c>
    </row>
    <row r="116" spans="1:16" ht="45" x14ac:dyDescent="0.2">
      <c r="A116" s="21"/>
      <c r="B116" s="35">
        <v>42123</v>
      </c>
      <c r="C116" s="49" t="s">
        <v>167</v>
      </c>
      <c r="D116" s="54" t="s">
        <v>179</v>
      </c>
      <c r="E116" s="53" t="s">
        <v>186</v>
      </c>
      <c r="F116" s="39"/>
      <c r="G116" s="39">
        <v>26500</v>
      </c>
      <c r="H116" s="39">
        <v>26500</v>
      </c>
      <c r="I116" s="121">
        <v>0</v>
      </c>
      <c r="J116" s="53" t="s">
        <v>173</v>
      </c>
      <c r="K116" s="53" t="s">
        <v>176</v>
      </c>
      <c r="L116" s="5" t="s">
        <v>183</v>
      </c>
      <c r="M116" s="5"/>
      <c r="N116" s="58"/>
      <c r="O116" s="58"/>
      <c r="P116" s="55">
        <f t="shared" si="3"/>
        <v>26500</v>
      </c>
    </row>
    <row r="117" spans="1:16" x14ac:dyDescent="0.2">
      <c r="A117" s="21" t="s">
        <v>36</v>
      </c>
      <c r="B117" s="35">
        <v>4221</v>
      </c>
      <c r="C117" s="2"/>
      <c r="D117" s="19" t="s">
        <v>124</v>
      </c>
      <c r="E117" s="42"/>
      <c r="F117" s="27">
        <v>1274.1389607804099</v>
      </c>
      <c r="G117" s="27">
        <v>1274.1389607804099</v>
      </c>
      <c r="H117" s="27">
        <v>1274.1389607804099</v>
      </c>
      <c r="I117" s="119">
        <v>1274.1389607804099</v>
      </c>
      <c r="J117" s="5"/>
      <c r="K117" s="5"/>
      <c r="L117" s="5"/>
      <c r="M117" s="5"/>
      <c r="N117" s="76"/>
      <c r="O117" s="76"/>
      <c r="P117" s="27">
        <f t="shared" si="3"/>
        <v>0</v>
      </c>
    </row>
    <row r="118" spans="1:16" x14ac:dyDescent="0.2">
      <c r="A118" s="21"/>
      <c r="B118" s="35">
        <v>4221</v>
      </c>
      <c r="C118" s="2"/>
      <c r="D118" s="3" t="s">
        <v>123</v>
      </c>
      <c r="E118" s="42"/>
      <c r="F118" s="26">
        <v>1274.1389607804099</v>
      </c>
      <c r="G118" s="26">
        <v>1274.1389607804099</v>
      </c>
      <c r="H118" s="26">
        <v>1274.1389607804099</v>
      </c>
      <c r="I118" s="120">
        <f>53.22/1.25</f>
        <v>42.576000000000001</v>
      </c>
      <c r="J118" s="5"/>
      <c r="K118" s="5"/>
      <c r="L118" s="5"/>
      <c r="M118" s="5"/>
      <c r="N118" s="58"/>
      <c r="O118" s="58"/>
      <c r="P118" s="26">
        <f t="shared" si="3"/>
        <v>1231.5629607804099</v>
      </c>
    </row>
    <row r="119" spans="1:16" x14ac:dyDescent="0.2">
      <c r="A119" s="21"/>
      <c r="B119" s="35"/>
      <c r="C119" s="2"/>
      <c r="D119" s="3" t="s">
        <v>125</v>
      </c>
      <c r="E119" s="42"/>
      <c r="F119" s="26">
        <v>0</v>
      </c>
      <c r="G119" s="26">
        <v>0</v>
      </c>
      <c r="H119" s="26">
        <v>0</v>
      </c>
      <c r="I119" s="120">
        <v>0</v>
      </c>
      <c r="J119" s="5"/>
      <c r="K119" s="5"/>
      <c r="L119" s="5"/>
      <c r="M119" s="5"/>
      <c r="N119" s="58"/>
      <c r="O119" s="58"/>
      <c r="P119" s="26">
        <f t="shared" si="3"/>
        <v>0</v>
      </c>
    </row>
    <row r="120" spans="1:16" x14ac:dyDescent="0.2">
      <c r="A120" s="21"/>
      <c r="B120" s="35"/>
      <c r="C120" s="2"/>
      <c r="D120" s="3" t="s">
        <v>126</v>
      </c>
      <c r="E120" s="42"/>
      <c r="F120" s="26">
        <v>0</v>
      </c>
      <c r="G120" s="26">
        <v>0</v>
      </c>
      <c r="H120" s="26">
        <v>0</v>
      </c>
      <c r="I120" s="120">
        <v>0</v>
      </c>
      <c r="J120" s="5"/>
      <c r="K120" s="5"/>
      <c r="L120" s="5"/>
      <c r="M120" s="5"/>
      <c r="N120" s="58"/>
      <c r="O120" s="58"/>
      <c r="P120" s="26">
        <f t="shared" si="3"/>
        <v>0</v>
      </c>
    </row>
    <row r="121" spans="1:16" x14ac:dyDescent="0.2">
      <c r="A121" s="21" t="s">
        <v>134</v>
      </c>
      <c r="B121" s="42">
        <v>4223</v>
      </c>
      <c r="C121" s="2"/>
      <c r="D121" s="19" t="s">
        <v>137</v>
      </c>
      <c r="E121" s="42"/>
      <c r="F121" s="27">
        <v>236.67131196496115</v>
      </c>
      <c r="G121" s="27">
        <v>236.67131196496115</v>
      </c>
      <c r="H121" s="27">
        <v>236.67131196496115</v>
      </c>
      <c r="I121" s="119">
        <v>0</v>
      </c>
      <c r="J121" s="5"/>
      <c r="K121" s="5"/>
      <c r="L121" s="5"/>
      <c r="M121" s="5"/>
      <c r="N121" s="58"/>
      <c r="O121" s="58"/>
      <c r="P121" s="27">
        <f t="shared" si="3"/>
        <v>236.67131196496115</v>
      </c>
    </row>
    <row r="122" spans="1:16" x14ac:dyDescent="0.2">
      <c r="A122" s="21" t="s">
        <v>37</v>
      </c>
      <c r="B122" s="35">
        <v>4227</v>
      </c>
      <c r="C122" s="51">
        <v>44986</v>
      </c>
      <c r="D122" s="19" t="s">
        <v>31</v>
      </c>
      <c r="E122" s="42"/>
      <c r="F122" s="27">
        <v>2229.7431813657176</v>
      </c>
      <c r="G122" s="27">
        <v>2229.7431813657176</v>
      </c>
      <c r="H122" s="27">
        <v>2229.7431813657176</v>
      </c>
      <c r="I122" s="119">
        <v>0</v>
      </c>
      <c r="J122" s="5"/>
      <c r="K122" s="5"/>
      <c r="L122" s="5"/>
      <c r="M122" s="5"/>
      <c r="N122" s="76"/>
      <c r="O122" s="76"/>
      <c r="P122" s="27">
        <f t="shared" si="3"/>
        <v>2229.7431813657176</v>
      </c>
    </row>
    <row r="123" spans="1:16" x14ac:dyDescent="0.2">
      <c r="A123" s="21" t="s">
        <v>38</v>
      </c>
      <c r="B123" s="35">
        <v>4241</v>
      </c>
      <c r="C123" s="2"/>
      <c r="D123" s="19" t="s">
        <v>122</v>
      </c>
      <c r="E123" s="42"/>
      <c r="F123" s="27">
        <v>922.73952516835243</v>
      </c>
      <c r="G123" s="27">
        <v>922.73952516835243</v>
      </c>
      <c r="H123" s="27">
        <v>922.73952516835243</v>
      </c>
      <c r="I123" s="119">
        <f>2139.85/1.05</f>
        <v>2037.9523809523807</v>
      </c>
      <c r="J123" s="5"/>
      <c r="K123" s="5"/>
      <c r="L123" s="5"/>
      <c r="M123" s="5"/>
      <c r="N123" s="76"/>
      <c r="O123" s="76"/>
      <c r="P123" s="27">
        <f t="shared" si="3"/>
        <v>-1115.2128557840283</v>
      </c>
    </row>
    <row r="124" spans="1:16" x14ac:dyDescent="0.2">
      <c r="A124" s="21" t="s">
        <v>39</v>
      </c>
      <c r="B124" s="33">
        <v>424111</v>
      </c>
      <c r="C124" s="2"/>
      <c r="D124" s="19" t="s">
        <v>201</v>
      </c>
      <c r="E124" s="42"/>
      <c r="F124" s="27">
        <v>24985.748730443138</v>
      </c>
      <c r="G124" s="27">
        <v>24985.748730443138</v>
      </c>
      <c r="H124" s="27">
        <v>24985.748730443138</v>
      </c>
      <c r="I124" s="119">
        <f>1067.03/1.05</f>
        <v>1016.2190476190475</v>
      </c>
      <c r="J124" s="5"/>
      <c r="K124" s="5"/>
      <c r="L124" s="5"/>
      <c r="M124" s="5"/>
      <c r="N124" s="58"/>
      <c r="O124" s="58"/>
      <c r="P124" s="27">
        <f t="shared" si="3"/>
        <v>23969.52968282409</v>
      </c>
    </row>
    <row r="125" spans="1:16" x14ac:dyDescent="0.2">
      <c r="A125" s="21" t="s">
        <v>165</v>
      </c>
      <c r="B125" s="35">
        <v>4511</v>
      </c>
      <c r="C125" s="2"/>
      <c r="D125" s="19" t="s">
        <v>42</v>
      </c>
      <c r="E125" s="42"/>
      <c r="F125" s="27">
        <v>0</v>
      </c>
      <c r="G125" s="27">
        <v>0</v>
      </c>
      <c r="H125" s="27">
        <v>0</v>
      </c>
      <c r="I125" s="27">
        <v>0</v>
      </c>
      <c r="J125" s="5"/>
      <c r="K125" s="5"/>
      <c r="L125" s="5"/>
      <c r="M125" s="5"/>
      <c r="N125" s="58"/>
      <c r="O125" s="58"/>
      <c r="P125" s="27">
        <f t="shared" si="3"/>
        <v>0</v>
      </c>
    </row>
    <row r="126" spans="1:16" x14ac:dyDescent="0.2">
      <c r="A126" s="1"/>
      <c r="B126" s="35"/>
      <c r="C126" s="4"/>
      <c r="D126" s="4"/>
      <c r="E126" s="35"/>
      <c r="F126" s="26"/>
      <c r="G126" s="26"/>
      <c r="H126" s="26"/>
      <c r="I126" s="26"/>
      <c r="J126" s="5"/>
      <c r="K126" s="5"/>
      <c r="L126" s="5"/>
      <c r="M126" s="5"/>
      <c r="N126" s="76"/>
      <c r="O126" s="76"/>
      <c r="P126" s="26">
        <f t="shared" si="3"/>
        <v>0</v>
      </c>
    </row>
    <row r="127" spans="1:16" x14ac:dyDescent="0.2">
      <c r="A127" s="4"/>
      <c r="B127" s="35"/>
      <c r="C127" s="1"/>
      <c r="D127" s="2" t="s">
        <v>32</v>
      </c>
      <c r="E127" s="42"/>
      <c r="F127" s="27">
        <f>F13+F14+F15+F24+F46+F50+F54+F62+F63+F68+F69+F87+F93+F94+F97+F100+F102+F103+F104+F105+F106+F107+F108+F113+F117+F115+F121+F122+F123+F124+F125</f>
        <v>157129.50494129589</v>
      </c>
      <c r="G127" s="27">
        <f>G13+G14+G15+G24+G46+G50+G54+G62+G63+G68+G69+G87+G93+G94+G97+G100+G102+G103+G104+G105+G106+G107+G108+G113+G117+G115+G121+G122+G123+G124+G125</f>
        <v>754642.13494129595</v>
      </c>
      <c r="H127" s="27">
        <f>H13+H14+H15+H24+H46+H50+H54+H62+H63+H68+H69+H87+H93+H94+H97+H100+H102+H103+H104+H105+H106+H107+H108+H113+H117+H115+H121+H122+H123+H124+H125</f>
        <v>175029.50494129592</v>
      </c>
      <c r="I127" s="27">
        <f>I13+I14+I15+I24+I46+I50+I54+I62+I63+I68+I69+I87+I93+I94+I97+I100+I102+I103+I104+I105+I106+I107+I108+I113+I117+I115+I121+I122+I123+I124+I125</f>
        <v>205852.52170831434</v>
      </c>
      <c r="J127" s="5"/>
      <c r="K127" s="5"/>
      <c r="L127" s="5"/>
      <c r="M127" s="5"/>
      <c r="N127" s="76"/>
      <c r="O127" s="76"/>
      <c r="P127" s="27">
        <f t="shared" si="3"/>
        <v>-30823.016767018416</v>
      </c>
    </row>
    <row r="128" spans="1:16" ht="12.75" hidden="1" customHeight="1" x14ac:dyDescent="0.2">
      <c r="A128" s="1"/>
      <c r="B128" s="38"/>
      <c r="C128" s="11"/>
      <c r="D128" s="12"/>
      <c r="E128" s="12"/>
      <c r="F128" s="16">
        <f>SUM(F26:F127)</f>
        <v>358347.36795703211</v>
      </c>
      <c r="G128" s="16">
        <f>SUM(G26:G127)</f>
        <v>2774897.8879570318</v>
      </c>
      <c r="H128" s="16">
        <f>SUM(H26:H127)</f>
        <v>456447.36795703217</v>
      </c>
      <c r="I128" s="16">
        <f>SUM(I26:I127)</f>
        <v>461150.72117003181</v>
      </c>
      <c r="J128" s="18"/>
      <c r="K128" s="18"/>
      <c r="L128" s="18"/>
      <c r="M128" s="13"/>
      <c r="N128" s="77"/>
      <c r="O128" s="78"/>
      <c r="P128" s="16">
        <f>SUM(P26:P127)</f>
        <v>-4703.3532129995037</v>
      </c>
    </row>
    <row r="129" spans="1:16" x14ac:dyDescent="0.2">
      <c r="A129" s="15"/>
      <c r="D129" s="6"/>
      <c r="E129" s="6"/>
      <c r="M129" s="14"/>
      <c r="N129" s="76"/>
      <c r="O129" s="76"/>
    </row>
    <row r="130" spans="1:16" x14ac:dyDescent="0.2">
      <c r="A130" s="14"/>
      <c r="D130" s="6"/>
      <c r="E130" s="6"/>
      <c r="F130" s="79" t="s">
        <v>72</v>
      </c>
      <c r="G130" s="79"/>
      <c r="H130" s="79"/>
      <c r="I130" s="79"/>
      <c r="J130" s="79"/>
      <c r="K130" s="79"/>
      <c r="L130" s="79"/>
      <c r="M130" s="80"/>
      <c r="N130" s="80"/>
      <c r="O130" s="80"/>
    </row>
    <row r="131" spans="1:16" x14ac:dyDescent="0.2">
      <c r="B131" s="75"/>
      <c r="C131" s="75"/>
      <c r="D131" s="75"/>
      <c r="E131" s="57"/>
      <c r="F131" s="79" t="s">
        <v>140</v>
      </c>
      <c r="G131" s="79"/>
      <c r="H131" s="79"/>
      <c r="I131" s="79"/>
      <c r="J131" s="79"/>
      <c r="K131" s="79"/>
      <c r="L131" s="79"/>
      <c r="M131" s="80"/>
      <c r="N131" s="80"/>
      <c r="O131" s="80"/>
    </row>
    <row r="132" spans="1:16" x14ac:dyDescent="0.2">
      <c r="B132" s="75"/>
      <c r="C132" s="75"/>
      <c r="D132" s="75"/>
      <c r="E132" s="57"/>
    </row>
    <row r="133" spans="1:16" x14ac:dyDescent="0.2">
      <c r="D133" s="7"/>
      <c r="E133" s="7"/>
      <c r="F133" s="28"/>
      <c r="G133" s="28"/>
      <c r="H133" s="28"/>
      <c r="I133" s="28"/>
      <c r="J133" s="6"/>
      <c r="K133" s="6"/>
      <c r="L133" s="6"/>
      <c r="P133" s="28"/>
    </row>
    <row r="134" spans="1:16" x14ac:dyDescent="0.2">
      <c r="A134" s="6"/>
      <c r="F134" s="71"/>
      <c r="G134" s="71"/>
      <c r="H134" s="71"/>
      <c r="I134" s="71"/>
      <c r="J134" s="6"/>
      <c r="K134" s="6"/>
      <c r="L134" s="6"/>
      <c r="P134" s="71"/>
    </row>
    <row r="135" spans="1:16" ht="12.75" hidden="1" customHeight="1" x14ac:dyDescent="0.2"/>
    <row r="136" spans="1:16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</sheetData>
  <mergeCells count="89">
    <mergeCell ref="D9:D10"/>
    <mergeCell ref="E9:E10"/>
    <mergeCell ref="A1:M1"/>
    <mergeCell ref="A2:M2"/>
    <mergeCell ref="A3:D3"/>
    <mergeCell ref="A4:O5"/>
    <mergeCell ref="B6:M6"/>
    <mergeCell ref="M9:M10"/>
    <mergeCell ref="N9:O10"/>
    <mergeCell ref="P9:P10"/>
    <mergeCell ref="N11:O11"/>
    <mergeCell ref="A15:A22"/>
    <mergeCell ref="N15:O15"/>
    <mergeCell ref="B16:B22"/>
    <mergeCell ref="F9:F10"/>
    <mergeCell ref="G9:G10"/>
    <mergeCell ref="H9:H10"/>
    <mergeCell ref="J9:J10"/>
    <mergeCell ref="K9:K10"/>
    <mergeCell ref="L9:L10"/>
    <mergeCell ref="A9:A10"/>
    <mergeCell ref="B9:B10"/>
    <mergeCell ref="C9:C10"/>
    <mergeCell ref="N38:O38"/>
    <mergeCell ref="N39:O39"/>
    <mergeCell ref="N40:O40"/>
    <mergeCell ref="N41:O41"/>
    <mergeCell ref="A24:A48"/>
    <mergeCell ref="B25:B45"/>
    <mergeCell ref="N26:O26"/>
    <mergeCell ref="N27:O27"/>
    <mergeCell ref="N29:O29"/>
    <mergeCell ref="N30:O30"/>
    <mergeCell ref="N31:O31"/>
    <mergeCell ref="N33:O33"/>
    <mergeCell ref="N34:O34"/>
    <mergeCell ref="N35:O35"/>
    <mergeCell ref="A63:A67"/>
    <mergeCell ref="N63:O63"/>
    <mergeCell ref="B64:B67"/>
    <mergeCell ref="N43:O43"/>
    <mergeCell ref="N44:O44"/>
    <mergeCell ref="N45:O45"/>
    <mergeCell ref="N46:O46"/>
    <mergeCell ref="N48:O48"/>
    <mergeCell ref="N51:O51"/>
    <mergeCell ref="A69:A82"/>
    <mergeCell ref="N69:O69"/>
    <mergeCell ref="B74:B82"/>
    <mergeCell ref="A87:A92"/>
    <mergeCell ref="N87:O87"/>
    <mergeCell ref="B88:B92"/>
    <mergeCell ref="N88:O88"/>
    <mergeCell ref="A94:A96"/>
    <mergeCell ref="N94:O94"/>
    <mergeCell ref="B95:B96"/>
    <mergeCell ref="A97:A99"/>
    <mergeCell ref="N97:O97"/>
    <mergeCell ref="B98:B99"/>
    <mergeCell ref="N98:O98"/>
    <mergeCell ref="N99:O99"/>
    <mergeCell ref="A100:A101"/>
    <mergeCell ref="N100:O100"/>
    <mergeCell ref="N102:O102"/>
    <mergeCell ref="N105:O105"/>
    <mergeCell ref="A108:A112"/>
    <mergeCell ref="N108:O108"/>
    <mergeCell ref="B109:B112"/>
    <mergeCell ref="A113:A114"/>
    <mergeCell ref="N113:O113"/>
    <mergeCell ref="N117:O117"/>
    <mergeCell ref="N122:O122"/>
    <mergeCell ref="N123:O123"/>
    <mergeCell ref="B132:D132"/>
    <mergeCell ref="I9:I10"/>
    <mergeCell ref="N49:O49"/>
    <mergeCell ref="N127:O127"/>
    <mergeCell ref="N128:O128"/>
    <mergeCell ref="N129:O129"/>
    <mergeCell ref="F130:O130"/>
    <mergeCell ref="B131:D131"/>
    <mergeCell ref="F131:O131"/>
    <mergeCell ref="N126:O126"/>
    <mergeCell ref="N54:O54"/>
    <mergeCell ref="N55:O55"/>
    <mergeCell ref="N56:O56"/>
    <mergeCell ref="N62:O62"/>
    <mergeCell ref="N36:O36"/>
    <mergeCell ref="N37:O37"/>
  </mergeCells>
  <pageMargins left="0.7" right="0.7" top="0.75" bottom="0.75" header="0.3" footer="0.3"/>
  <pageSetup paperSize="9" scale="83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3.izmjena plana 12-23</vt:lpstr>
      <vt:lpstr>'3.izmjena plana 12-23'!Podrucje_ispisa</vt:lpstr>
    </vt:vector>
  </TitlesOfParts>
  <Company>OŠ D. Domjanića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Katarina</cp:lastModifiedBy>
  <cp:lastPrinted>2023-09-21T12:11:30Z</cp:lastPrinted>
  <dcterms:created xsi:type="dcterms:W3CDTF">2008-06-09T08:03:08Z</dcterms:created>
  <dcterms:modified xsi:type="dcterms:W3CDTF">2024-01-30T09:31:31Z</dcterms:modified>
</cp:coreProperties>
</file>