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tarina\Desktop\Jednostavna nabava\"/>
    </mc:Choice>
  </mc:AlternateContent>
  <bookViews>
    <workbookView xWindow="0" yWindow="45" windowWidth="15195" windowHeight="8445" activeTab="2"/>
  </bookViews>
  <sheets>
    <sheet name="plan nabave 2022-objava" sheetId="7" r:id="rId1"/>
    <sheet name="Plan nabave 2022-1.izmjena" sheetId="8" r:id="rId2"/>
    <sheet name="Plan nabave- 2. izmjena" sheetId="9" r:id="rId3"/>
  </sheets>
  <definedNames>
    <definedName name="_xlnm.Print_Area" localSheetId="1">'Plan nabave 2022-1.izmjena'!$A$1:$P$136</definedName>
  </definedNames>
  <calcPr calcId="162913"/>
</workbook>
</file>

<file path=xl/calcChain.xml><?xml version="1.0" encoding="utf-8"?>
<calcChain xmlns="http://schemas.openxmlformats.org/spreadsheetml/2006/main">
  <c r="P138" i="9" l="1"/>
  <c r="F138" i="9"/>
  <c r="G138" i="9"/>
  <c r="H138" i="9"/>
  <c r="P119" i="9"/>
  <c r="H124" i="9"/>
  <c r="P125" i="9"/>
  <c r="G126" i="9"/>
  <c r="H126" i="9"/>
  <c r="P126" i="9"/>
  <c r="G116" i="9"/>
  <c r="F116" i="9"/>
  <c r="H120" i="9"/>
  <c r="P120" i="9"/>
  <c r="H115" i="9"/>
  <c r="G69" i="9"/>
  <c r="H69" i="9"/>
  <c r="P69" i="9" s="1"/>
  <c r="H82" i="9"/>
  <c r="G73" i="9"/>
  <c r="H73" i="9"/>
  <c r="P73" i="9" s="1"/>
  <c r="G25" i="9"/>
  <c r="H25" i="9"/>
  <c r="P137" i="9"/>
  <c r="P136" i="9"/>
  <c r="P135" i="9"/>
  <c r="P134" i="9"/>
  <c r="P133" i="9"/>
  <c r="P132" i="9"/>
  <c r="P131" i="9"/>
  <c r="P130" i="9"/>
  <c r="P129" i="9"/>
  <c r="P128" i="9"/>
  <c r="P127" i="9"/>
  <c r="P124" i="9"/>
  <c r="P123" i="9"/>
  <c r="P122" i="9"/>
  <c r="P118" i="9"/>
  <c r="P117" i="9"/>
  <c r="P115" i="9"/>
  <c r="P114" i="9"/>
  <c r="P113" i="9"/>
  <c r="P112" i="9"/>
  <c r="P111" i="9"/>
  <c r="P110" i="9"/>
  <c r="P109" i="9"/>
  <c r="P108" i="9"/>
  <c r="P107" i="9"/>
  <c r="P106" i="9"/>
  <c r="P105" i="9"/>
  <c r="P104" i="9"/>
  <c r="P103" i="9"/>
  <c r="P102" i="9"/>
  <c r="P101" i="9"/>
  <c r="P100" i="9"/>
  <c r="P99" i="9"/>
  <c r="P98" i="9"/>
  <c r="P97" i="9"/>
  <c r="P96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2" i="9"/>
  <c r="P71" i="9"/>
  <c r="P70" i="9"/>
  <c r="P68" i="9"/>
  <c r="P67" i="9"/>
  <c r="P66" i="9"/>
  <c r="P65" i="9"/>
  <c r="P64" i="9"/>
  <c r="P63" i="9"/>
  <c r="P62" i="9"/>
  <c r="P61" i="9"/>
  <c r="P60" i="9"/>
  <c r="P59" i="9"/>
  <c r="P58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H128" i="9"/>
  <c r="H127" i="9"/>
  <c r="H122" i="9"/>
  <c r="H123" i="9"/>
  <c r="H135" i="9"/>
  <c r="G113" i="9"/>
  <c r="H114" i="9"/>
  <c r="G106" i="9"/>
  <c r="H110" i="9"/>
  <c r="H107" i="9"/>
  <c r="H106" i="9" s="1"/>
  <c r="F106" i="9"/>
  <c r="H104" i="9"/>
  <c r="H103" i="9"/>
  <c r="H102" i="9"/>
  <c r="H100" i="9"/>
  <c r="G98" i="9"/>
  <c r="H98" i="9"/>
  <c r="H99" i="9"/>
  <c r="G92" i="9"/>
  <c r="G95" i="9"/>
  <c r="H95" i="9"/>
  <c r="H94" i="9"/>
  <c r="H93" i="9"/>
  <c r="H92" i="9" s="1"/>
  <c r="H91" i="9"/>
  <c r="G85" i="9"/>
  <c r="H90" i="9"/>
  <c r="H89" i="9"/>
  <c r="H88" i="9"/>
  <c r="H87" i="9"/>
  <c r="H86" i="9"/>
  <c r="H85" i="9" s="1"/>
  <c r="F73" i="9"/>
  <c r="H66" i="9"/>
  <c r="H64" i="9"/>
  <c r="H62" i="9"/>
  <c r="G54" i="9"/>
  <c r="H61" i="9"/>
  <c r="H59" i="9"/>
  <c r="H52" i="9"/>
  <c r="H50" i="9" s="1"/>
  <c r="H51" i="9"/>
  <c r="G50" i="9"/>
  <c r="H49" i="9"/>
  <c r="H48" i="9"/>
  <c r="H47" i="9" s="1"/>
  <c r="G47" i="9"/>
  <c r="G39" i="9"/>
  <c r="H39" i="9"/>
  <c r="H38" i="9"/>
  <c r="H45" i="9"/>
  <c r="H37" i="9"/>
  <c r="H36" i="9"/>
  <c r="H35" i="9"/>
  <c r="H34" i="9"/>
  <c r="G26" i="9"/>
  <c r="H26" i="9"/>
  <c r="H33" i="9"/>
  <c r="H24" i="9"/>
  <c r="H22" i="9"/>
  <c r="H20" i="9"/>
  <c r="G17" i="9"/>
  <c r="H19" i="9"/>
  <c r="H129" i="9"/>
  <c r="H16" i="9"/>
  <c r="F133" i="9"/>
  <c r="G130" i="9"/>
  <c r="G129" i="9" s="1"/>
  <c r="G127" i="9"/>
  <c r="G122" i="9"/>
  <c r="G121" i="9" s="1"/>
  <c r="F121" i="9"/>
  <c r="G115" i="9"/>
  <c r="F113" i="9"/>
  <c r="G104" i="9"/>
  <c r="G103" i="9"/>
  <c r="G102" i="9"/>
  <c r="G101" i="9"/>
  <c r="G100" i="9"/>
  <c r="F98" i="9"/>
  <c r="F95" i="9"/>
  <c r="F92" i="9"/>
  <c r="G91" i="9"/>
  <c r="F85" i="9"/>
  <c r="F69" i="9"/>
  <c r="G68" i="9"/>
  <c r="G63" i="9"/>
  <c r="F63" i="9"/>
  <c r="G62" i="9"/>
  <c r="F54" i="9"/>
  <c r="F50" i="9"/>
  <c r="F47" i="9"/>
  <c r="F39" i="9"/>
  <c r="F26" i="9"/>
  <c r="F17" i="9"/>
  <c r="G16" i="9"/>
  <c r="H116" i="9" l="1"/>
  <c r="P116" i="9" s="1"/>
  <c r="H113" i="9"/>
  <c r="H54" i="9"/>
  <c r="H121" i="9"/>
  <c r="H17" i="9"/>
  <c r="F25" i="9"/>
  <c r="G124" i="8"/>
  <c r="H124" i="8"/>
  <c r="H128" i="8"/>
  <c r="F25" i="8"/>
  <c r="P127" i="8"/>
  <c r="P126" i="8"/>
  <c r="P125" i="8"/>
  <c r="G125" i="8"/>
  <c r="P121" i="9" l="1"/>
  <c r="P128" i="8"/>
  <c r="P20" i="8"/>
  <c r="P21" i="8"/>
  <c r="P22" i="8"/>
  <c r="P23" i="8"/>
  <c r="P24" i="8"/>
  <c r="P19" i="8"/>
  <c r="P38" i="8"/>
  <c r="F17" i="8"/>
  <c r="F17" i="7"/>
  <c r="F139" i="9" l="1"/>
  <c r="P119" i="8"/>
  <c r="P120" i="8"/>
  <c r="P121" i="8"/>
  <c r="P122" i="8"/>
  <c r="P123" i="8"/>
  <c r="P124" i="8"/>
  <c r="P86" i="8"/>
  <c r="P87" i="8"/>
  <c r="P88" i="8"/>
  <c r="P89" i="8"/>
  <c r="P90" i="8"/>
  <c r="P91" i="8"/>
  <c r="P93" i="8"/>
  <c r="P94" i="8"/>
  <c r="P96" i="8"/>
  <c r="P97" i="8"/>
  <c r="P99" i="8"/>
  <c r="P100" i="8"/>
  <c r="P101" i="8"/>
  <c r="P102" i="8"/>
  <c r="P103" i="8"/>
  <c r="P104" i="8"/>
  <c r="P105" i="8"/>
  <c r="P107" i="8"/>
  <c r="P108" i="8"/>
  <c r="P109" i="8"/>
  <c r="P110" i="8"/>
  <c r="P112" i="8"/>
  <c r="P113" i="8"/>
  <c r="P114" i="8"/>
  <c r="P16" i="8"/>
  <c r="P27" i="8"/>
  <c r="P28" i="8"/>
  <c r="P29" i="8"/>
  <c r="P30" i="8"/>
  <c r="P31" i="8"/>
  <c r="P32" i="8"/>
  <c r="P33" i="8"/>
  <c r="P34" i="8"/>
  <c r="P35" i="8"/>
  <c r="P36" i="8"/>
  <c r="P37" i="8"/>
  <c r="P40" i="8"/>
  <c r="P41" i="8"/>
  <c r="P42" i="8"/>
  <c r="P43" i="8"/>
  <c r="P44" i="8"/>
  <c r="P45" i="8"/>
  <c r="P46" i="8"/>
  <c r="P48" i="8"/>
  <c r="P49" i="8"/>
  <c r="P51" i="8"/>
  <c r="P52" i="8"/>
  <c r="P53" i="8"/>
  <c r="P55" i="8"/>
  <c r="P56" i="8"/>
  <c r="P57" i="8"/>
  <c r="P58" i="8"/>
  <c r="P59" i="8"/>
  <c r="P60" i="8"/>
  <c r="P61" i="8"/>
  <c r="P62" i="8"/>
  <c r="P64" i="8"/>
  <c r="P65" i="8"/>
  <c r="P66" i="8"/>
  <c r="P67" i="8"/>
  <c r="P68" i="8"/>
  <c r="P70" i="8"/>
  <c r="P71" i="8"/>
  <c r="P72" i="8"/>
  <c r="P74" i="8"/>
  <c r="P75" i="8"/>
  <c r="P76" i="8"/>
  <c r="P77" i="8"/>
  <c r="P78" i="8"/>
  <c r="P79" i="8"/>
  <c r="P80" i="8"/>
  <c r="P81" i="8"/>
  <c r="P82" i="8"/>
  <c r="P15" i="8"/>
  <c r="H84" i="8" l="1"/>
  <c r="P84" i="8" s="1"/>
  <c r="H83" i="8"/>
  <c r="P83" i="8"/>
  <c r="S117" i="8"/>
  <c r="P116" i="8"/>
  <c r="R117" i="8"/>
  <c r="P117" i="8"/>
  <c r="P115" i="8"/>
  <c r="G17" i="8"/>
  <c r="G122" i="8"/>
  <c r="G119" i="8"/>
  <c r="F118" i="8"/>
  <c r="P118" i="8" s="1"/>
  <c r="G113" i="8"/>
  <c r="G111" i="8"/>
  <c r="F111" i="8"/>
  <c r="P111" i="8" s="1"/>
  <c r="G106" i="8"/>
  <c r="F106" i="8"/>
  <c r="P106" i="8" s="1"/>
  <c r="G104" i="8"/>
  <c r="G103" i="8"/>
  <c r="G102" i="8"/>
  <c r="G101" i="8"/>
  <c r="G100" i="8"/>
  <c r="G98" i="8"/>
  <c r="F98" i="8"/>
  <c r="P98" i="8" s="1"/>
  <c r="G95" i="8"/>
  <c r="F95" i="8"/>
  <c r="P95" i="8" s="1"/>
  <c r="F92" i="8"/>
  <c r="P92" i="8" s="1"/>
  <c r="G91" i="8"/>
  <c r="G85" i="8"/>
  <c r="F85" i="8"/>
  <c r="P85" i="8" s="1"/>
  <c r="F73" i="8"/>
  <c r="P73" i="8" s="1"/>
  <c r="G69" i="8"/>
  <c r="F69" i="8"/>
  <c r="P69" i="8" s="1"/>
  <c r="G68" i="8"/>
  <c r="G63" i="8"/>
  <c r="F63" i="8"/>
  <c r="P63" i="8" s="1"/>
  <c r="G62" i="8"/>
  <c r="G54" i="8"/>
  <c r="F54" i="8"/>
  <c r="P54" i="8" s="1"/>
  <c r="F50" i="8"/>
  <c r="P50" i="8" s="1"/>
  <c r="G47" i="8"/>
  <c r="F47" i="8"/>
  <c r="P47" i="8" s="1"/>
  <c r="F39" i="8"/>
  <c r="P39" i="8" s="1"/>
  <c r="F26" i="8"/>
  <c r="P26" i="8" s="1"/>
  <c r="G25" i="8"/>
  <c r="P17" i="8"/>
  <c r="G16" i="8"/>
  <c r="R84" i="8" l="1"/>
  <c r="S84" i="8" s="1"/>
  <c r="H131" i="8"/>
  <c r="P25" i="8"/>
  <c r="F131" i="8" l="1"/>
  <c r="P131" i="8" s="1"/>
  <c r="F132" i="8"/>
  <c r="G118" i="7"/>
  <c r="G115" i="7"/>
  <c r="F114" i="7"/>
  <c r="G111" i="7"/>
  <c r="G109" i="7"/>
  <c r="F109" i="7"/>
  <c r="G104" i="7"/>
  <c r="F104" i="7"/>
  <c r="G102" i="7"/>
  <c r="G101" i="7"/>
  <c r="G100" i="7"/>
  <c r="G99" i="7"/>
  <c r="G98" i="7"/>
  <c r="G96" i="7"/>
  <c r="F96" i="7"/>
  <c r="G93" i="7"/>
  <c r="F93" i="7"/>
  <c r="F90" i="7"/>
  <c r="G89" i="7"/>
  <c r="G83" i="7"/>
  <c r="F83" i="7"/>
  <c r="F73" i="7"/>
  <c r="F69" i="7" s="1"/>
  <c r="G69" i="7"/>
  <c r="G68" i="7"/>
  <c r="G63" i="7"/>
  <c r="F63" i="7"/>
  <c r="G62" i="7"/>
  <c r="G54" i="7"/>
  <c r="F54" i="7"/>
  <c r="F50" i="7"/>
  <c r="G47" i="7"/>
  <c r="F47" i="7"/>
  <c r="F39" i="7"/>
  <c r="F26" i="7"/>
  <c r="G25" i="7"/>
  <c r="G17" i="7"/>
  <c r="G16" i="7"/>
  <c r="F25" i="7" l="1"/>
  <c r="F123" i="7" s="1"/>
  <c r="F124" i="7" s="1"/>
</calcChain>
</file>

<file path=xl/sharedStrings.xml><?xml version="1.0" encoding="utf-8"?>
<sst xmlns="http://schemas.openxmlformats.org/spreadsheetml/2006/main" count="862" uniqueCount="235">
  <si>
    <t>Predmet nabave</t>
  </si>
  <si>
    <t>1.</t>
  </si>
  <si>
    <t>2.</t>
  </si>
  <si>
    <t>3.</t>
  </si>
  <si>
    <t>5.</t>
  </si>
  <si>
    <t>Sitan inventar</t>
  </si>
  <si>
    <t>6.</t>
  </si>
  <si>
    <t>Usluge tekućeg i investicijskog održavanja</t>
  </si>
  <si>
    <t>7.</t>
  </si>
  <si>
    <t>8.</t>
  </si>
  <si>
    <t>9.</t>
  </si>
  <si>
    <t>Komunalne usluge</t>
  </si>
  <si>
    <t>10.</t>
  </si>
  <si>
    <t>Računalne usluge</t>
  </si>
  <si>
    <t>11.</t>
  </si>
  <si>
    <t>12.</t>
  </si>
  <si>
    <t>Članarine</t>
  </si>
  <si>
    <t>13.</t>
  </si>
  <si>
    <t>14.</t>
  </si>
  <si>
    <t>15.</t>
  </si>
  <si>
    <t>Ostali nespomenuti rashodi poslovanja</t>
  </si>
  <si>
    <t>Zdravstvene usluge</t>
  </si>
  <si>
    <t>18.</t>
  </si>
  <si>
    <t>Red
broj</t>
  </si>
  <si>
    <t>Uredski materijal i ostali materijalni rashodi</t>
  </si>
  <si>
    <t>Plin</t>
  </si>
  <si>
    <t>Službena, radna i zaštitna odjeća i obuća</t>
  </si>
  <si>
    <t>Usluge telefona,pošte i prijevoza</t>
  </si>
  <si>
    <t xml:space="preserve">Ostale usluge </t>
  </si>
  <si>
    <t>Bankarske usluge i usluge platnog prometa</t>
  </si>
  <si>
    <t>19.</t>
  </si>
  <si>
    <t>Uređaji,strojevi i oprema za ostale namjene</t>
  </si>
  <si>
    <t>UKUPNO:</t>
  </si>
  <si>
    <t>20.</t>
  </si>
  <si>
    <t>21.</t>
  </si>
  <si>
    <t>22.</t>
  </si>
  <si>
    <t>23.</t>
  </si>
  <si>
    <t>25.</t>
  </si>
  <si>
    <t>26.</t>
  </si>
  <si>
    <t>27.</t>
  </si>
  <si>
    <t>29.</t>
  </si>
  <si>
    <t>30.</t>
  </si>
  <si>
    <t>Dodatna ulaganja</t>
  </si>
  <si>
    <t>Poslovni objekti</t>
  </si>
  <si>
    <t>Zakupnine i najamnine</t>
  </si>
  <si>
    <t>Pristojbe i naknade</t>
  </si>
  <si>
    <t>Troškovi sudskih postupaka</t>
  </si>
  <si>
    <t>VRSTA POSTUPKA I NAČIN NABAVE</t>
  </si>
  <si>
    <t>UGOVOR O JAVNOJ NABAVI/OKVIRNI SPORAZUM</t>
  </si>
  <si>
    <t>PLANIRANI POČETAK POSTUPKA</t>
  </si>
  <si>
    <t>PLANIRANO TRAJANJE UGOVORA O JN ILI OKVIRNOG SPORAZUMA</t>
  </si>
  <si>
    <t>radovi na električnim instalacijama</t>
  </si>
  <si>
    <t>servisi aparata, strojeva</t>
  </si>
  <si>
    <t>ispitivanje instalacija</t>
  </si>
  <si>
    <t>staklarske usluge</t>
  </si>
  <si>
    <t>odvoz smeća</t>
  </si>
  <si>
    <t>deratizacija</t>
  </si>
  <si>
    <t>dimnjačarske usluge</t>
  </si>
  <si>
    <t>Reprezentacija</t>
  </si>
  <si>
    <t>usluge popravaka opreme</t>
  </si>
  <si>
    <t>PROCIJENJENA VRIJEDNOST NABAVE BEZ     PDV-a</t>
  </si>
  <si>
    <t>Pozicija iz financij.
plana</t>
  </si>
  <si>
    <t>Materijali i sirovine</t>
  </si>
  <si>
    <t>usluge telefona,telefaxa</t>
  </si>
  <si>
    <t>poštarina</t>
  </si>
  <si>
    <t>popravak i održavanje računalne opreme</t>
  </si>
  <si>
    <t>Intelektualne i osobne usluge</t>
  </si>
  <si>
    <t>Obvezni preventivni i zdr.pregledi</t>
  </si>
  <si>
    <t>Evidencijski broj nabave</t>
  </si>
  <si>
    <t>POSTUPAK PROVODI</t>
  </si>
  <si>
    <t>Stručno usavršavanje zaposlenika</t>
  </si>
  <si>
    <t>Naknade troškova zaposlenima</t>
  </si>
  <si>
    <t xml:space="preserve">               IVANIĆ-GRAD</t>
  </si>
  <si>
    <t>Izravna nabava</t>
  </si>
  <si>
    <t>prijevoz učenika - izleti</t>
  </si>
  <si>
    <t>ostale  usluge</t>
  </si>
  <si>
    <t>Usluge banaka i pl. prometa</t>
  </si>
  <si>
    <t>OSNOVNA ŠKOLA ĐURE DEŽELIĆA IVANIĆ-GRAD</t>
  </si>
  <si>
    <t>Ravnatelj:                                         Predsjednica Školskog odbora:</t>
  </si>
  <si>
    <t>Službena putovanja (naknade za smještak i prijevoz)</t>
  </si>
  <si>
    <t>CPV</t>
  </si>
  <si>
    <t>literatura (publikacije i časopisi)</t>
  </si>
  <si>
    <t xml:space="preserve">materijal i sredstva za čišćenje </t>
  </si>
  <si>
    <t>ostali  potrošni materijal</t>
  </si>
  <si>
    <t>Meso i mesne prerađevine</t>
  </si>
  <si>
    <t>15113000-3</t>
  </si>
  <si>
    <t xml:space="preserve">svinjetina </t>
  </si>
  <si>
    <t>piletina</t>
  </si>
  <si>
    <t>junetina, govedina, teletina</t>
  </si>
  <si>
    <t>mesne konzerve i mesni pripravci</t>
  </si>
  <si>
    <t>15112000-6</t>
  </si>
  <si>
    <t>15131200-7</t>
  </si>
  <si>
    <t>Svježe voće</t>
  </si>
  <si>
    <t>Svježe povrće</t>
  </si>
  <si>
    <t>Konzervirano i smrznuto voće i povrće</t>
  </si>
  <si>
    <t>Osnovne prehrambene namirnice (šećer, sol, brašno, ocat, riža, tjestenina, palenta, ulje, začini, cornflakes)</t>
  </si>
  <si>
    <t>Riba i riblje prerađevine</t>
  </si>
  <si>
    <t>15800000-6</t>
  </si>
  <si>
    <t>puretina</t>
  </si>
  <si>
    <t>mlijeko</t>
  </si>
  <si>
    <t xml:space="preserve">svježi sir </t>
  </si>
  <si>
    <t>vrhnje</t>
  </si>
  <si>
    <t>jogurt</t>
  </si>
  <si>
    <t>ostali mliječni proizvodi (maslac, namazi)</t>
  </si>
  <si>
    <t>15500000-3</t>
  </si>
  <si>
    <t>15542000-9</t>
  </si>
  <si>
    <t>15512000-0</t>
  </si>
  <si>
    <t>15551300-8</t>
  </si>
  <si>
    <t>15550000-8</t>
  </si>
  <si>
    <t>Mlijeko i mliječni proizvodi</t>
  </si>
  <si>
    <t>Kruh i pekarski proizvodi</t>
  </si>
  <si>
    <t>15810000-9</t>
  </si>
  <si>
    <t>Električna energija</t>
  </si>
  <si>
    <t>Energija -</t>
  </si>
  <si>
    <t>09310000-5</t>
  </si>
  <si>
    <t>09123000-7</t>
  </si>
  <si>
    <t>Otvoreni postupak javne nabave provodi Zagrebačka županija</t>
  </si>
  <si>
    <t xml:space="preserve">Okvirni  sporazum  </t>
  </si>
  <si>
    <t>Materijal i dijelovi za tek. i inv.održavanje građevine</t>
  </si>
  <si>
    <t>Materijal i dijelovi za tek. i inv.održavanje postrojenja i opreme</t>
  </si>
  <si>
    <t>44500000-5</t>
  </si>
  <si>
    <t xml:space="preserve">Materijal i dijelovi za tek. i inv.održavanje </t>
  </si>
  <si>
    <t>Jednostavna nabava</t>
  </si>
  <si>
    <t>Tekuće i investicijsko održavanje zgrade škole</t>
  </si>
  <si>
    <t>radovi na vodovodnim i kanalizacijskim instalacijama</t>
  </si>
  <si>
    <t>opskrba vodom</t>
  </si>
  <si>
    <t>ostale komunalne usluge</t>
  </si>
  <si>
    <t>Sanitarne i ostale usluge</t>
  </si>
  <si>
    <t>ostale intelekt.usluge-vođenje zaš.na radu, osposobljavanje</t>
  </si>
  <si>
    <t xml:space="preserve">ugovori o djelu </t>
  </si>
  <si>
    <t>Ostale računalne usluge</t>
  </si>
  <si>
    <t>rashodi za protokol</t>
  </si>
  <si>
    <t>rashodi za uređenje okoliša</t>
  </si>
  <si>
    <t>rashodi za provjeru vjerodostojnosti isprava</t>
  </si>
  <si>
    <t>ostali rashodi (provizija)</t>
  </si>
  <si>
    <t>Knjige za knjižnicu</t>
  </si>
  <si>
    <t>424111, 37229</t>
  </si>
  <si>
    <t>Udžbenici, radne bilježnice i ostali radni materijal</t>
  </si>
  <si>
    <t>Ostala uredska oprema i namještaj</t>
  </si>
  <si>
    <t>Postrojenja i oprema</t>
  </si>
  <si>
    <t>Računala i računalna oprema</t>
  </si>
  <si>
    <t>Ostala uredska oprema</t>
  </si>
  <si>
    <t>Na osnovi odredaba Zakona o javnoj nabavi ( NN, broj 120/16), te članka 29. Statuta OŠ Đure Deželića Ivanić-Grad,  Školski odbor donosi slijedeći:</t>
  </si>
  <si>
    <t>2 g</t>
  </si>
  <si>
    <t>jednostavna nabava</t>
  </si>
  <si>
    <t>Izravna  nabava</t>
  </si>
  <si>
    <t>Zgrade znanstvenih i obrazovnih institucija</t>
  </si>
  <si>
    <t>fin. plan bruto -neto</t>
  </si>
  <si>
    <t>SI-uredska oprema 30190</t>
  </si>
  <si>
    <t>SI-računalna oprema</t>
  </si>
  <si>
    <t>SI-kuhinjska oprema</t>
  </si>
  <si>
    <t>SI-oprema za nastavu</t>
  </si>
  <si>
    <t>SI-ostalo</t>
  </si>
  <si>
    <t>Usluge promidžbe i informiranja</t>
  </si>
  <si>
    <t>24.</t>
  </si>
  <si>
    <t>Premije osiguranja učenika</t>
  </si>
  <si>
    <t>Materijal i dijelovi za tekuće i investic. održavanje zgrade i opreme</t>
  </si>
  <si>
    <t>Oprema za održavanje i zaštitu</t>
  </si>
  <si>
    <t>suhomesnati i drugi kobas.proizvodi- mesne prerađevine</t>
  </si>
  <si>
    <t>centralno grijanje</t>
  </si>
  <si>
    <t>Mileo Todić                                                    Romana Orlić</t>
  </si>
  <si>
    <t>4.</t>
  </si>
  <si>
    <t>16.</t>
  </si>
  <si>
    <t>17.</t>
  </si>
  <si>
    <t xml:space="preserve">GODIŠNJI PLAN NABAVE ZA 2022. GODINU </t>
  </si>
  <si>
    <t>Izmjena plana nabave 10/2022</t>
  </si>
  <si>
    <t>Zgrade znanstvenih i obrazovnih institucija-izrada projektne dok.za dogradnju škole i dvorane</t>
  </si>
  <si>
    <t>Zgrade znanstvenih i obrazovnih institucija-dopuna projekta za energetsku obnovu</t>
  </si>
  <si>
    <t>sanacija podova nakon potresa</t>
  </si>
  <si>
    <t>Ugovor o nabavi</t>
  </si>
  <si>
    <t>Ugovori o nabavi usluga</t>
  </si>
  <si>
    <t>15.10.2022.</t>
  </si>
  <si>
    <t>30 dana</t>
  </si>
  <si>
    <t>OŠ Đure Deželića</t>
  </si>
  <si>
    <t>Na osnovi odredaba Zakona o javnoj nabavi ( NN, broj 120/16), te članka 29. Statuta OŠ Đure Deželića Ivanić-Grad,  Školski odbor donosi slijedeće:</t>
  </si>
  <si>
    <t>5/2021</t>
  </si>
  <si>
    <t>Zgrade znanstvenih i obrazovnih institucija-izrada geotehničkog elaborata</t>
  </si>
  <si>
    <t xml:space="preserve">1. IZMJENA I DOPUNA GODIŠNJEG PLANA NABAVE ZA 2022. GODINU </t>
  </si>
  <si>
    <t>01/2022</t>
  </si>
  <si>
    <t>2/2022</t>
  </si>
  <si>
    <t>Dopuna plana nabave 10/2022-PROCIJENJENA VRIJEDNSOT</t>
  </si>
  <si>
    <t>stručni nadzor-sanacija podova nakon potresa</t>
  </si>
  <si>
    <t>Narudžbenica</t>
  </si>
  <si>
    <t>Izmjenjen iznos -Ukupno</t>
  </si>
  <si>
    <t>Uredski materijal:</t>
  </si>
  <si>
    <t>22200000-2</t>
  </si>
  <si>
    <t>39800000-0</t>
  </si>
  <si>
    <t>toneri</t>
  </si>
  <si>
    <t>30125110-5</t>
  </si>
  <si>
    <t>materijal za osobnu higijenu (T.P, ručnici i sl)</t>
  </si>
  <si>
    <t>33760000-0</t>
  </si>
  <si>
    <t>papir za fotokopiranje</t>
  </si>
  <si>
    <t>30197643-0</t>
  </si>
  <si>
    <t>30100000-0</t>
  </si>
  <si>
    <t>15119000-5</t>
  </si>
  <si>
    <t>15100000-9</t>
  </si>
  <si>
    <t>15240000-2</t>
  </si>
  <si>
    <t>03222000-3</t>
  </si>
  <si>
    <t>03221000-6</t>
  </si>
  <si>
    <t>15330000-0</t>
  </si>
  <si>
    <t>Ostali prehrambeni proizvodi</t>
  </si>
  <si>
    <t>15890000-3</t>
  </si>
  <si>
    <t>3/2022</t>
  </si>
  <si>
    <t>4/2022</t>
  </si>
  <si>
    <t>Izravna nabava-po izdavačima i razredima</t>
  </si>
  <si>
    <t>71242000-6</t>
  </si>
  <si>
    <t>45430000-0</t>
  </si>
  <si>
    <t>7/2022</t>
  </si>
  <si>
    <t>8/2022</t>
  </si>
  <si>
    <t>9/2022</t>
  </si>
  <si>
    <t>Udžbenici "Školska kniga" 5-8 r.</t>
  </si>
  <si>
    <t>Udžbenici "Profil Klet" 1-4 r.</t>
  </si>
  <si>
    <t>Udžbenici "Profil Klet" 5-8 r.</t>
  </si>
  <si>
    <t>ostali udžbenici pojedin.vrijednost po izdavačima i razredima manje od 20.000,00 kn</t>
  </si>
  <si>
    <t>05/2022</t>
  </si>
  <si>
    <t>6/2022</t>
  </si>
  <si>
    <t>Ivanić-Grad, 14.listopad 2022.</t>
  </si>
  <si>
    <t>60000000-8</t>
  </si>
  <si>
    <t xml:space="preserve">2. IZMJENA I DOPUNA GODIŠNJEG PLANA NABAVE ZA 2022. GODINU </t>
  </si>
  <si>
    <t>Službena putovanja (naknade za smještaj i prijevoz)</t>
  </si>
  <si>
    <t xml:space="preserve">PROCIJENJENA VRIJEDNOST NABAVE BEZ  PDV (Plan nabave i 1.izmjena plana nabave)    </t>
  </si>
  <si>
    <t>prijevoz učenika - izleti, natjecanja</t>
  </si>
  <si>
    <t>Rashodi za ulaznice</t>
  </si>
  <si>
    <t>Rashodi za natjecanja</t>
  </si>
  <si>
    <t>Projekat energetske obnove</t>
  </si>
  <si>
    <t>21.11.2022.</t>
  </si>
  <si>
    <t>Zgrade znanstvenih i obrazovnih institucija-dopuna projekta za energetsku obnovu Planetaris</t>
  </si>
  <si>
    <t>Ivanić-Grad, 28.prosinac 2022.</t>
  </si>
  <si>
    <t>2.Izmjena i dopuna plana nabave 12/2022-PROCIJENJENA VRIJEDNSOT</t>
  </si>
  <si>
    <t>Ostala uredska oprema-pametna ploča Multiboard 65"</t>
  </si>
  <si>
    <t>19.12.2022.</t>
  </si>
  <si>
    <t>15 dana</t>
  </si>
  <si>
    <t>3019100-4</t>
  </si>
  <si>
    <t>Ugovori o nabavi usluga Arakis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</si>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</sst>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b/>
      <sz val="16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rgb="FF0070C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color rgb="FF0070C0"/>
      <name val="Arial"/>
      <family val="2"/>
      <charset val="238"/>
    </font>
    <font>
      <b/>
      <i/>
      <sz val="9"/>
      <color rgb="FF0070C0"/>
      <name val="Arial"/>
      <family val="2"/>
      <charset val="238"/>
    </font>
    <font>
      <i/>
      <sz val="8"/>
      <color rgb="FF0070C0"/>
      <name val="Arial"/>
      <family val="2"/>
      <charset val="238"/>
    </font>
    <font>
      <sz val="11"/>
      <color rgb="FF000000"/>
      <name val="Calibri"/>
      <family val="2"/>
      <scheme val="minor"/>
    </font>
    <font>
      <b/>
      <i/>
      <sz val="8"/>
      <color rgb="FF0070C0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9"/>
      <color rgb="FF0070C0"/>
      <name val="Arial"/>
      <family val="2"/>
      <charset val="238"/>
    </font>
    <font>
      <i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2" fillId="0" borderId="0"/>
  </cellStyleXfs>
  <cellXfs count="169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2" fontId="2" fillId="0" borderId="1" xfId="0" applyNumberFormat="1" applyFont="1" applyBorder="1"/>
    <xf numFmtId="0" fontId="5" fillId="0" borderId="0" xfId="0" applyFont="1"/>
    <xf numFmtId="4" fontId="0" fillId="0" borderId="0" xfId="0" applyNumberForma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0" fillId="0" borderId="2" xfId="0" applyBorder="1" applyAlignment="1"/>
    <xf numFmtId="0" fontId="0" fillId="0" borderId="3" xfId="0" applyBorder="1" applyAlignment="1"/>
    <xf numFmtId="0" fontId="6" fillId="0" borderId="4" xfId="0" applyFont="1" applyBorder="1"/>
    <xf numFmtId="0" fontId="0" fillId="0" borderId="0" xfId="0" applyBorder="1"/>
    <xf numFmtId="0" fontId="5" fillId="0" borderId="5" xfId="0" applyFont="1" applyBorder="1" applyAlignment="1"/>
    <xf numFmtId="4" fontId="8" fillId="0" borderId="1" xfId="0" applyNumberFormat="1" applyFont="1" applyBorder="1"/>
    <xf numFmtId="4" fontId="2" fillId="0" borderId="1" xfId="0" applyNumberFormat="1" applyFont="1" applyBorder="1"/>
    <xf numFmtId="0" fontId="0" fillId="0" borderId="4" xfId="0" applyBorder="1"/>
    <xf numFmtId="4" fontId="0" fillId="0" borderId="0" xfId="0" applyNumberFormat="1"/>
    <xf numFmtId="0" fontId="10" fillId="0" borderId="1" xfId="0" applyFont="1" applyBorder="1"/>
    <xf numFmtId="0" fontId="14" fillId="0" borderId="1" xfId="0" applyFont="1" applyBorder="1"/>
    <xf numFmtId="0" fontId="3" fillId="0" borderId="6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/>
    <xf numFmtId="0" fontId="0" fillId="0" borderId="4" xfId="0" applyBorder="1" applyAlignment="1"/>
    <xf numFmtId="0" fontId="0" fillId="0" borderId="6" xfId="0" applyBorder="1" applyAlignment="1"/>
    <xf numFmtId="0" fontId="3" fillId="0" borderId="4" xfId="0" applyFont="1" applyBorder="1" applyAlignment="1"/>
    <xf numFmtId="0" fontId="2" fillId="0" borderId="4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0" fillId="0" borderId="7" xfId="0" applyBorder="1" applyAlignment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0" fillId="0" borderId="4" xfId="0" applyBorder="1" applyAlignment="1">
      <alignment horizontal="right"/>
    </xf>
    <xf numFmtId="0" fontId="5" fillId="0" borderId="0" xfId="0" applyFont="1" applyAlignment="1">
      <alignment horizontal="right"/>
    </xf>
    <xf numFmtId="0" fontId="10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/>
    <xf numFmtId="0" fontId="3" fillId="0" borderId="4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0" fontId="2" fillId="0" borderId="1" xfId="0" applyNumberFormat="1" applyFont="1" applyBorder="1"/>
    <xf numFmtId="0" fontId="2" fillId="0" borderId="2" xfId="0" applyFont="1" applyBorder="1" applyAlignment="1"/>
    <xf numFmtId="0" fontId="16" fillId="0" borderId="1" xfId="0" applyFont="1" applyBorder="1"/>
    <xf numFmtId="4" fontId="15" fillId="0" borderId="1" xfId="0" applyNumberFormat="1" applyFont="1" applyBorder="1" applyAlignment="1">
      <alignment horizontal="right"/>
    </xf>
    <xf numFmtId="4" fontId="8" fillId="0" borderId="4" xfId="0" applyNumberFormat="1" applyFont="1" applyBorder="1"/>
    <xf numFmtId="4" fontId="17" fillId="0" borderId="1" xfId="0" applyNumberFormat="1" applyFont="1" applyBorder="1" applyAlignment="1">
      <alignment horizontal="right"/>
    </xf>
    <xf numFmtId="4" fontId="17" fillId="0" borderId="1" xfId="0" applyNumberFormat="1" applyFont="1" applyBorder="1"/>
    <xf numFmtId="0" fontId="8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20" fillId="0" borderId="1" xfId="0" applyFont="1" applyBorder="1"/>
    <xf numFmtId="4" fontId="21" fillId="0" borderId="1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/>
    <xf numFmtId="0" fontId="0" fillId="0" borderId="0" xfId="0" applyAlignment="1"/>
    <xf numFmtId="0" fontId="0" fillId="0" borderId="7" xfId="0" applyBorder="1" applyAlignment="1">
      <alignment horizontal="center"/>
    </xf>
    <xf numFmtId="0" fontId="2" fillId="0" borderId="4" xfId="0" applyFont="1" applyBorder="1" applyAlignment="1"/>
    <xf numFmtId="0" fontId="2" fillId="0" borderId="6" xfId="0" applyFont="1" applyBorder="1" applyAlignment="1"/>
    <xf numFmtId="0" fontId="3" fillId="0" borderId="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/>
    <xf numFmtId="0" fontId="2" fillId="0" borderId="7" xfId="0" applyFont="1" applyBorder="1" applyAlignment="1"/>
    <xf numFmtId="0" fontId="2" fillId="0" borderId="6" xfId="0" applyFont="1" applyBorder="1" applyAlignment="1"/>
    <xf numFmtId="0" fontId="2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2" fillId="0" borderId="0" xfId="0" applyNumberFormat="1" applyFont="1" applyBorder="1" applyAlignment="1"/>
    <xf numFmtId="0" fontId="4" fillId="0" borderId="1" xfId="0" applyFont="1" applyBorder="1" applyAlignment="1">
      <alignment wrapText="1"/>
    </xf>
    <xf numFmtId="4" fontId="24" fillId="0" borderId="1" xfId="0" applyNumberFormat="1" applyFont="1" applyBorder="1" applyAlignment="1">
      <alignment horizontal="right"/>
    </xf>
    <xf numFmtId="2" fontId="24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wrapText="1"/>
    </xf>
    <xf numFmtId="49" fontId="2" fillId="0" borderId="1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/>
    <xf numFmtId="0" fontId="13" fillId="0" borderId="1" xfId="0" applyFont="1" applyBorder="1"/>
    <xf numFmtId="0" fontId="23" fillId="0" borderId="1" xfId="0" applyFont="1" applyBorder="1"/>
    <xf numFmtId="0" fontId="24" fillId="0" borderId="1" xfId="0" applyFont="1" applyBorder="1"/>
    <xf numFmtId="0" fontId="2" fillId="0" borderId="3" xfId="0" applyFont="1" applyBorder="1" applyAlignment="1"/>
    <xf numFmtId="0" fontId="2" fillId="0" borderId="0" xfId="0" applyFont="1" applyAlignment="1"/>
    <xf numFmtId="4" fontId="2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25" fillId="0" borderId="6" xfId="0" applyNumberFormat="1" applyFont="1" applyBorder="1" applyAlignment="1"/>
    <xf numFmtId="49" fontId="15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2" fillId="0" borderId="0" xfId="0" applyNumberFormat="1" applyFont="1" applyBorder="1" applyAlignment="1"/>
    <xf numFmtId="0" fontId="26" fillId="0" borderId="1" xfId="0" applyFont="1" applyBorder="1"/>
    <xf numFmtId="0" fontId="2" fillId="0" borderId="1" xfId="0" applyFont="1" applyBorder="1" applyAlignment="1">
      <alignment horizontal="right" wrapText="1"/>
    </xf>
    <xf numFmtId="0" fontId="24" fillId="0" borderId="1" xfId="0" applyFont="1" applyBorder="1" applyAlignment="1">
      <alignment horizontal="left"/>
    </xf>
    <xf numFmtId="2" fontId="24" fillId="0" borderId="1" xfId="0" applyNumberFormat="1" applyFont="1" applyBorder="1" applyAlignment="1">
      <alignment horizontal="right" wrapText="1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2" fillId="0" borderId="4" xfId="0" applyFont="1" applyBorder="1" applyAlignment="1"/>
    <xf numFmtId="0" fontId="2" fillId="0" borderId="7" xfId="0" applyFont="1" applyBorder="1" applyAlignment="1"/>
    <xf numFmtId="2" fontId="2" fillId="0" borderId="0" xfId="0" applyNumberFormat="1" applyFont="1" applyBorder="1" applyAlignment="1"/>
    <xf numFmtId="0" fontId="2" fillId="0" borderId="6" xfId="0" applyFont="1" applyBorder="1" applyAlignment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49" fontId="4" fillId="0" borderId="6" xfId="0" applyNumberFormat="1" applyFont="1" applyBorder="1" applyAlignment="1"/>
    <xf numFmtId="0" fontId="0" fillId="0" borderId="0" xfId="0" applyAlignment="1"/>
    <xf numFmtId="2" fontId="2" fillId="0" borderId="0" xfId="0" applyNumberFormat="1" applyFont="1" applyBorder="1" applyAlignment="1"/>
    <xf numFmtId="2" fontId="2" fillId="0" borderId="8" xfId="0" applyNumberFormat="1" applyFont="1" applyBorder="1" applyAlignment="1"/>
    <xf numFmtId="2" fontId="2" fillId="0" borderId="9" xfId="0" applyNumberFormat="1" applyFont="1" applyBorder="1" applyAlignment="1"/>
    <xf numFmtId="0" fontId="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/>
    <xf numFmtId="0" fontId="2" fillId="0" borderId="7" xfId="0" applyFont="1" applyBorder="1" applyAlignment="1"/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wrapText="1"/>
    </xf>
    <xf numFmtId="164" fontId="2" fillId="0" borderId="0" xfId="0" applyNumberFormat="1" applyFont="1" applyBorder="1" applyAlignment="1">
      <alignment horizontal="center"/>
    </xf>
    <xf numFmtId="44" fontId="9" fillId="2" borderId="4" xfId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3">
    <cellStyle name="Normal" xfId="2"/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9"/>
  <sheetViews>
    <sheetView workbookViewId="0">
      <selection activeCell="F15" sqref="F15"/>
    </sheetView>
  </sheetViews>
  <sheetFormatPr defaultRowHeight="12.75" x14ac:dyDescent="0.2"/>
  <cols>
    <col min="1" max="1" width="3.5703125" customWidth="1"/>
    <col min="2" max="2" width="7.5703125" style="44" customWidth="1"/>
    <col min="3" max="3" width="9" customWidth="1"/>
    <col min="4" max="4" width="52" bestFit="1" customWidth="1"/>
    <col min="5" max="5" width="11.42578125" customWidth="1"/>
    <col min="6" max="6" width="14.5703125" customWidth="1"/>
    <col min="7" max="7" width="14.5703125" hidden="1" customWidth="1"/>
    <col min="8" max="8" width="19.5703125" style="34" customWidth="1"/>
    <col min="9" max="9" width="8.5703125" customWidth="1"/>
    <col min="10" max="10" width="11.7109375" customWidth="1"/>
    <col min="11" max="11" width="9.28515625" customWidth="1"/>
    <col min="12" max="12" width="7.5703125" customWidth="1"/>
    <col min="13" max="13" width="0.42578125" hidden="1" customWidth="1"/>
    <col min="14" max="14" width="1.5703125" hidden="1" customWidth="1"/>
  </cols>
  <sheetData>
    <row r="1" spans="1:14" ht="20.25" x14ac:dyDescent="0.3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4" x14ac:dyDescent="0.2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4" x14ac:dyDescent="0.2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</row>
    <row r="4" spans="1:14" x14ac:dyDescent="0.2">
      <c r="A4" s="8" t="s">
        <v>77</v>
      </c>
      <c r="C4" s="8"/>
      <c r="D4" s="8"/>
      <c r="E4" s="8"/>
    </row>
    <row r="5" spans="1:14" x14ac:dyDescent="0.2">
      <c r="A5" s="158" t="s">
        <v>72</v>
      </c>
      <c r="B5" s="122"/>
      <c r="C5" s="122"/>
      <c r="D5" s="158"/>
      <c r="E5" s="70"/>
    </row>
    <row r="6" spans="1:14" x14ac:dyDescent="0.2">
      <c r="A6" s="159" t="s">
        <v>142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ht="17.25" customHeight="1" x14ac:dyDescent="0.2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</row>
    <row r="8" spans="1:14" ht="18" customHeight="1" x14ac:dyDescent="0.25">
      <c r="A8" s="6"/>
      <c r="B8" s="155" t="s">
        <v>164</v>
      </c>
      <c r="C8" s="155"/>
      <c r="D8" s="122"/>
      <c r="E8" s="122"/>
      <c r="F8" s="122"/>
      <c r="G8" s="122"/>
      <c r="H8" s="122"/>
      <c r="I8" s="122"/>
      <c r="J8" s="122"/>
      <c r="K8" s="122"/>
      <c r="L8" s="122"/>
    </row>
    <row r="9" spans="1:14" ht="1.5" hidden="1" customHeight="1" x14ac:dyDescent="0.2"/>
    <row r="10" spans="1:14" ht="1.5" hidden="1" customHeight="1" x14ac:dyDescent="0.2"/>
    <row r="11" spans="1:14" ht="12.75" customHeight="1" x14ac:dyDescent="0.2">
      <c r="A11" s="148" t="s">
        <v>23</v>
      </c>
      <c r="B11" s="148" t="s">
        <v>61</v>
      </c>
      <c r="C11" s="150" t="s">
        <v>68</v>
      </c>
      <c r="D11" s="152" t="s">
        <v>0</v>
      </c>
      <c r="E11" s="148" t="s">
        <v>80</v>
      </c>
      <c r="F11" s="148" t="s">
        <v>60</v>
      </c>
      <c r="G11" s="67"/>
      <c r="H11" s="148" t="s">
        <v>47</v>
      </c>
      <c r="I11" s="148" t="s">
        <v>69</v>
      </c>
      <c r="J11" s="150" t="s">
        <v>48</v>
      </c>
      <c r="K11" s="161" t="s">
        <v>49</v>
      </c>
      <c r="L11" s="162" t="s">
        <v>50</v>
      </c>
      <c r="M11" s="145"/>
      <c r="N11" s="146"/>
    </row>
    <row r="12" spans="1:14" ht="54" customHeight="1" x14ac:dyDescent="0.2">
      <c r="A12" s="149"/>
      <c r="B12" s="149"/>
      <c r="C12" s="151"/>
      <c r="D12" s="153"/>
      <c r="E12" s="154"/>
      <c r="F12" s="154"/>
      <c r="G12" s="68" t="s">
        <v>147</v>
      </c>
      <c r="H12" s="154"/>
      <c r="I12" s="154"/>
      <c r="J12" s="151"/>
      <c r="K12" s="151"/>
      <c r="L12" s="163"/>
      <c r="M12" s="147"/>
      <c r="N12" s="146"/>
    </row>
    <row r="13" spans="1:14" x14ac:dyDescent="0.2">
      <c r="A13" s="9" t="s">
        <v>1</v>
      </c>
      <c r="B13" s="9" t="s">
        <v>2</v>
      </c>
      <c r="C13" s="9" t="s">
        <v>3</v>
      </c>
      <c r="D13" s="9" t="s">
        <v>4</v>
      </c>
      <c r="E13" s="9"/>
      <c r="F13" s="9" t="s">
        <v>9</v>
      </c>
      <c r="G13" s="9"/>
      <c r="H13" s="35" t="s">
        <v>12</v>
      </c>
      <c r="I13" s="9" t="s">
        <v>14</v>
      </c>
      <c r="J13" s="9" t="s">
        <v>15</v>
      </c>
      <c r="K13" s="9" t="s">
        <v>17</v>
      </c>
      <c r="L13" s="9" t="s">
        <v>18</v>
      </c>
      <c r="M13" s="139"/>
      <c r="N13" s="139"/>
    </row>
    <row r="14" spans="1:14" x14ac:dyDescent="0.2">
      <c r="A14" s="29"/>
      <c r="B14" s="9"/>
      <c r="C14" s="9"/>
      <c r="D14" s="21" t="s">
        <v>71</v>
      </c>
      <c r="E14" s="21"/>
      <c r="F14" s="9"/>
      <c r="G14" s="9"/>
      <c r="H14" s="35"/>
      <c r="I14" s="9"/>
      <c r="J14" s="9"/>
      <c r="K14" s="9"/>
      <c r="L14" s="9"/>
      <c r="M14" s="60"/>
      <c r="N14" s="60"/>
    </row>
    <row r="15" spans="1:14" x14ac:dyDescent="0.2">
      <c r="A15" s="29"/>
      <c r="B15" s="45">
        <v>3211</v>
      </c>
      <c r="C15" s="9"/>
      <c r="D15" s="21" t="s">
        <v>79</v>
      </c>
      <c r="E15" s="21"/>
      <c r="F15" s="31">
        <v>10000</v>
      </c>
      <c r="G15" s="30"/>
      <c r="H15" s="35" t="s">
        <v>73</v>
      </c>
      <c r="I15" s="9"/>
      <c r="J15" s="9"/>
      <c r="K15" s="9"/>
      <c r="L15" s="9"/>
      <c r="M15" s="60"/>
      <c r="N15" s="60"/>
    </row>
    <row r="16" spans="1:14" x14ac:dyDescent="0.2">
      <c r="A16" s="29"/>
      <c r="B16" s="45">
        <v>3213</v>
      </c>
      <c r="C16" s="9"/>
      <c r="D16" s="21" t="s">
        <v>70</v>
      </c>
      <c r="E16" s="21"/>
      <c r="F16" s="31">
        <v>8320</v>
      </c>
      <c r="G16" s="31">
        <f>15000/1.25</f>
        <v>12000</v>
      </c>
      <c r="H16" s="35" t="s">
        <v>73</v>
      </c>
      <c r="I16" s="9"/>
      <c r="J16" s="9"/>
      <c r="K16" s="9"/>
      <c r="L16" s="9"/>
      <c r="M16" s="60"/>
      <c r="N16" s="60"/>
    </row>
    <row r="17" spans="1:14" x14ac:dyDescent="0.2">
      <c r="A17" s="128" t="s">
        <v>1</v>
      </c>
      <c r="B17" s="45">
        <v>3221</v>
      </c>
      <c r="C17" s="2"/>
      <c r="D17" s="21" t="s">
        <v>24</v>
      </c>
      <c r="E17" s="21"/>
      <c r="F17" s="31">
        <f>SUM(F18:F24)</f>
        <v>77632.800000000003</v>
      </c>
      <c r="G17" s="31">
        <f>66016/1.25+10500/1.25+2000/1.25</f>
        <v>62812.800000000003</v>
      </c>
      <c r="H17" s="36"/>
      <c r="I17" s="5"/>
      <c r="J17" s="5"/>
      <c r="K17" s="5"/>
      <c r="L17" s="5"/>
      <c r="M17" s="160"/>
      <c r="N17" s="160"/>
    </row>
    <row r="18" spans="1:14" x14ac:dyDescent="0.2">
      <c r="A18" s="129"/>
      <c r="B18" s="141"/>
      <c r="C18" s="26"/>
      <c r="D18" s="105" t="s">
        <v>184</v>
      </c>
      <c r="E18" s="3"/>
      <c r="F18" s="30"/>
      <c r="G18" s="30"/>
      <c r="H18" s="36"/>
      <c r="I18" s="5"/>
      <c r="J18" s="5"/>
      <c r="K18" s="5"/>
      <c r="L18" s="5"/>
      <c r="M18" s="59"/>
      <c r="N18" s="59"/>
    </row>
    <row r="19" spans="1:14" x14ac:dyDescent="0.2">
      <c r="A19" s="129"/>
      <c r="B19" s="142"/>
      <c r="C19" s="33"/>
      <c r="D19" s="3" t="s">
        <v>81</v>
      </c>
      <c r="E19" s="3" t="s">
        <v>185</v>
      </c>
      <c r="F19" s="30">
        <v>4000</v>
      </c>
      <c r="G19" s="30"/>
      <c r="H19" s="36" t="s">
        <v>73</v>
      </c>
      <c r="I19" s="5"/>
      <c r="J19" s="5"/>
      <c r="K19" s="5"/>
      <c r="L19" s="5"/>
      <c r="M19" s="59"/>
      <c r="N19" s="59"/>
    </row>
    <row r="20" spans="1:14" x14ac:dyDescent="0.2">
      <c r="A20" s="129"/>
      <c r="B20" s="142"/>
      <c r="C20" s="33"/>
      <c r="D20" s="3" t="s">
        <v>82</v>
      </c>
      <c r="E20" s="3" t="s">
        <v>186</v>
      </c>
      <c r="F20" s="30">
        <v>12000</v>
      </c>
      <c r="G20" s="30"/>
      <c r="H20" s="36" t="s">
        <v>73</v>
      </c>
      <c r="I20" s="5"/>
      <c r="J20" s="5"/>
      <c r="K20" s="5"/>
      <c r="L20" s="5"/>
      <c r="M20" s="59"/>
      <c r="N20" s="59"/>
    </row>
    <row r="21" spans="1:14" x14ac:dyDescent="0.2">
      <c r="A21" s="129"/>
      <c r="B21" s="142"/>
      <c r="C21" s="33"/>
      <c r="D21" s="3" t="s">
        <v>187</v>
      </c>
      <c r="E21" s="3" t="s">
        <v>188</v>
      </c>
      <c r="F21" s="30">
        <v>15000</v>
      </c>
      <c r="G21" s="30"/>
      <c r="H21" s="36" t="s">
        <v>73</v>
      </c>
      <c r="I21" s="5"/>
      <c r="J21" s="5"/>
      <c r="K21" s="5"/>
      <c r="L21" s="5"/>
      <c r="M21" s="59"/>
      <c r="N21" s="59"/>
    </row>
    <row r="22" spans="1:14" x14ac:dyDescent="0.2">
      <c r="A22" s="129"/>
      <c r="B22" s="142"/>
      <c r="C22" s="33"/>
      <c r="D22" s="3" t="s">
        <v>189</v>
      </c>
      <c r="E22" s="3" t="s">
        <v>190</v>
      </c>
      <c r="F22" s="30">
        <v>17000</v>
      </c>
      <c r="G22" s="30"/>
      <c r="H22" s="36" t="s">
        <v>73</v>
      </c>
      <c r="I22" s="5"/>
      <c r="J22" s="5"/>
      <c r="K22" s="5"/>
      <c r="L22" s="5"/>
      <c r="M22" s="103"/>
      <c r="N22" s="103"/>
    </row>
    <row r="23" spans="1:14" x14ac:dyDescent="0.2">
      <c r="A23" s="129"/>
      <c r="B23" s="142"/>
      <c r="C23" s="33"/>
      <c r="D23" s="3" t="s">
        <v>191</v>
      </c>
      <c r="E23" s="3" t="s">
        <v>192</v>
      </c>
      <c r="F23" s="30">
        <v>10000</v>
      </c>
      <c r="G23" s="30"/>
      <c r="H23" s="36" t="s">
        <v>73</v>
      </c>
      <c r="I23" s="5"/>
      <c r="J23" s="5"/>
      <c r="K23" s="5"/>
      <c r="L23" s="5"/>
      <c r="M23" s="103"/>
      <c r="N23" s="103"/>
    </row>
    <row r="24" spans="1:14" x14ac:dyDescent="0.2">
      <c r="A24" s="129"/>
      <c r="B24" s="142"/>
      <c r="C24" s="33"/>
      <c r="D24" s="3" t="s">
        <v>83</v>
      </c>
      <c r="E24" s="3" t="s">
        <v>193</v>
      </c>
      <c r="F24" s="30">
        <v>19632.8</v>
      </c>
      <c r="G24" s="30"/>
      <c r="H24" s="36" t="s">
        <v>73</v>
      </c>
      <c r="I24" s="5"/>
      <c r="J24" s="5"/>
      <c r="K24" s="5"/>
      <c r="L24" s="5"/>
      <c r="M24" s="103"/>
      <c r="N24" s="103"/>
    </row>
    <row r="25" spans="1:14" x14ac:dyDescent="0.2">
      <c r="A25" s="128" t="s">
        <v>2</v>
      </c>
      <c r="B25" s="65">
        <v>3222</v>
      </c>
      <c r="C25" s="23"/>
      <c r="D25" s="21" t="s">
        <v>62</v>
      </c>
      <c r="E25" s="21"/>
      <c r="F25" s="31">
        <f>F26+F33+F34+F35+F36+F37+F39+F45</f>
        <v>279000</v>
      </c>
      <c r="G25" s="31">
        <f>395759/1.25</f>
        <v>316607.2</v>
      </c>
      <c r="H25" s="36"/>
      <c r="I25" s="5"/>
      <c r="J25" s="5"/>
      <c r="K25" s="5"/>
      <c r="L25" s="5"/>
      <c r="M25" s="59"/>
      <c r="N25" s="59"/>
    </row>
    <row r="26" spans="1:14" x14ac:dyDescent="0.2">
      <c r="A26" s="129"/>
      <c r="B26" s="141"/>
      <c r="C26" s="28"/>
      <c r="D26" s="21" t="s">
        <v>84</v>
      </c>
      <c r="E26" s="3"/>
      <c r="F26" s="52">
        <f>SUM(F27:F32)</f>
        <v>100000</v>
      </c>
      <c r="G26" s="31"/>
      <c r="H26" s="36"/>
      <c r="I26" s="5"/>
      <c r="J26" s="5"/>
      <c r="K26" s="5"/>
      <c r="L26" s="5"/>
      <c r="M26" s="59"/>
      <c r="N26" s="59"/>
    </row>
    <row r="27" spans="1:14" x14ac:dyDescent="0.2">
      <c r="A27" s="137"/>
      <c r="B27" s="142"/>
      <c r="C27" s="33"/>
      <c r="D27" s="3" t="s">
        <v>86</v>
      </c>
      <c r="E27" s="3" t="s">
        <v>85</v>
      </c>
      <c r="F27" s="30">
        <v>13000</v>
      </c>
      <c r="G27" s="30"/>
      <c r="H27" s="36" t="s">
        <v>73</v>
      </c>
      <c r="I27" s="5"/>
      <c r="J27" s="5"/>
      <c r="K27" s="5"/>
      <c r="L27" s="5"/>
      <c r="M27" s="136"/>
      <c r="N27" s="136"/>
    </row>
    <row r="28" spans="1:14" x14ac:dyDescent="0.2">
      <c r="A28" s="137"/>
      <c r="B28" s="142"/>
      <c r="C28" s="33"/>
      <c r="D28" s="3" t="s">
        <v>87</v>
      </c>
      <c r="E28" s="3" t="s">
        <v>90</v>
      </c>
      <c r="F28" s="30">
        <v>19000</v>
      </c>
      <c r="G28" s="30"/>
      <c r="H28" s="36" t="s">
        <v>73</v>
      </c>
      <c r="I28" s="5"/>
      <c r="J28" s="5"/>
      <c r="K28" s="5"/>
      <c r="L28" s="5"/>
      <c r="M28" s="136"/>
      <c r="N28" s="136"/>
    </row>
    <row r="29" spans="1:14" x14ac:dyDescent="0.2">
      <c r="A29" s="137"/>
      <c r="B29" s="142"/>
      <c r="C29" s="33"/>
      <c r="D29" s="3" t="s">
        <v>98</v>
      </c>
      <c r="E29" s="3" t="s">
        <v>194</v>
      </c>
      <c r="F29" s="30">
        <v>18000</v>
      </c>
      <c r="G29" s="30"/>
      <c r="H29" s="36" t="s">
        <v>73</v>
      </c>
      <c r="I29" s="5"/>
      <c r="J29" s="5"/>
      <c r="K29" s="5"/>
      <c r="L29" s="5"/>
      <c r="M29" s="59"/>
      <c r="N29" s="59"/>
    </row>
    <row r="30" spans="1:14" x14ac:dyDescent="0.2">
      <c r="A30" s="137"/>
      <c r="B30" s="142"/>
      <c r="C30" s="33"/>
      <c r="D30" s="3" t="s">
        <v>88</v>
      </c>
      <c r="E30" s="3" t="s">
        <v>91</v>
      </c>
      <c r="F30" s="30">
        <v>17000</v>
      </c>
      <c r="G30" s="30"/>
      <c r="H30" s="36" t="s">
        <v>73</v>
      </c>
      <c r="I30" s="5"/>
      <c r="J30" s="5"/>
      <c r="K30" s="5"/>
      <c r="L30" s="5"/>
      <c r="M30" s="136"/>
      <c r="N30" s="136"/>
    </row>
    <row r="31" spans="1:14" x14ac:dyDescent="0.2">
      <c r="A31" s="137"/>
      <c r="B31" s="142"/>
      <c r="C31" s="33"/>
      <c r="D31" s="3" t="s">
        <v>158</v>
      </c>
      <c r="E31" s="3" t="s">
        <v>91</v>
      </c>
      <c r="F31" s="30">
        <v>15000</v>
      </c>
      <c r="G31" s="30"/>
      <c r="H31" s="36" t="s">
        <v>73</v>
      </c>
      <c r="I31" s="5"/>
      <c r="J31" s="5"/>
      <c r="K31" s="5"/>
      <c r="L31" s="5"/>
      <c r="M31" s="138"/>
      <c r="N31" s="139"/>
    </row>
    <row r="32" spans="1:14" x14ac:dyDescent="0.2">
      <c r="A32" s="137"/>
      <c r="B32" s="142"/>
      <c r="C32" s="33"/>
      <c r="D32" s="3" t="s">
        <v>89</v>
      </c>
      <c r="E32" s="3" t="s">
        <v>195</v>
      </c>
      <c r="F32" s="30">
        <v>18000</v>
      </c>
      <c r="G32" s="30"/>
      <c r="H32" s="36" t="s">
        <v>73</v>
      </c>
      <c r="I32" s="5"/>
      <c r="J32" s="5"/>
      <c r="K32" s="5"/>
      <c r="L32" s="5"/>
      <c r="M32" s="136"/>
      <c r="N32" s="136"/>
    </row>
    <row r="33" spans="1:14" x14ac:dyDescent="0.2">
      <c r="A33" s="137"/>
      <c r="B33" s="142"/>
      <c r="C33" s="33"/>
      <c r="D33" s="21" t="s">
        <v>96</v>
      </c>
      <c r="E33" s="3" t="s">
        <v>196</v>
      </c>
      <c r="F33" s="52">
        <v>19000</v>
      </c>
      <c r="G33" s="31"/>
      <c r="H33" s="36" t="s">
        <v>73</v>
      </c>
      <c r="I33" s="5"/>
      <c r="J33" s="5"/>
      <c r="K33" s="5"/>
      <c r="L33" s="5"/>
      <c r="M33" s="59"/>
      <c r="N33" s="59"/>
    </row>
    <row r="34" spans="1:14" x14ac:dyDescent="0.2">
      <c r="A34" s="137"/>
      <c r="B34" s="142"/>
      <c r="C34" s="33"/>
      <c r="D34" s="21" t="s">
        <v>92</v>
      </c>
      <c r="E34" s="3" t="s">
        <v>197</v>
      </c>
      <c r="F34" s="52">
        <v>18000</v>
      </c>
      <c r="G34" s="31"/>
      <c r="H34" s="36" t="s">
        <v>73</v>
      </c>
      <c r="I34" s="5"/>
      <c r="J34" s="5"/>
      <c r="K34" s="5"/>
      <c r="L34" s="5"/>
      <c r="M34" s="136"/>
      <c r="N34" s="136"/>
    </row>
    <row r="35" spans="1:14" x14ac:dyDescent="0.2">
      <c r="A35" s="137"/>
      <c r="B35" s="142"/>
      <c r="C35" s="33"/>
      <c r="D35" s="21" t="s">
        <v>93</v>
      </c>
      <c r="E35" s="3" t="s">
        <v>198</v>
      </c>
      <c r="F35" s="52">
        <v>17000</v>
      </c>
      <c r="G35" s="31"/>
      <c r="H35" s="36" t="s">
        <v>73</v>
      </c>
      <c r="I35" s="5"/>
      <c r="J35" s="5"/>
      <c r="K35" s="5"/>
      <c r="L35" s="5"/>
      <c r="M35" s="140"/>
      <c r="N35" s="136"/>
    </row>
    <row r="36" spans="1:14" x14ac:dyDescent="0.2">
      <c r="A36" s="137"/>
      <c r="B36" s="142"/>
      <c r="C36" s="33"/>
      <c r="D36" s="21" t="s">
        <v>94</v>
      </c>
      <c r="E36" s="3" t="s">
        <v>199</v>
      </c>
      <c r="F36" s="52">
        <v>20000</v>
      </c>
      <c r="G36" s="31"/>
      <c r="H36" s="36" t="s">
        <v>73</v>
      </c>
      <c r="I36" s="5"/>
      <c r="J36" s="5"/>
      <c r="K36" s="5"/>
      <c r="L36" s="5"/>
      <c r="M36" s="136"/>
      <c r="N36" s="136"/>
    </row>
    <row r="37" spans="1:14" ht="29.25" customHeight="1" x14ac:dyDescent="0.2">
      <c r="A37" s="137"/>
      <c r="B37" s="142"/>
      <c r="C37" s="33"/>
      <c r="D37" s="39" t="s">
        <v>95</v>
      </c>
      <c r="E37" s="3" t="s">
        <v>97</v>
      </c>
      <c r="F37" s="53">
        <v>20000</v>
      </c>
      <c r="G37" s="18"/>
      <c r="H37" s="40" t="s">
        <v>73</v>
      </c>
      <c r="I37" s="5"/>
      <c r="J37" s="5"/>
      <c r="K37" s="5"/>
      <c r="L37" s="5"/>
      <c r="M37" s="136"/>
      <c r="N37" s="136"/>
    </row>
    <row r="38" spans="1:14" ht="29.25" customHeight="1" x14ac:dyDescent="0.2">
      <c r="A38" s="137"/>
      <c r="B38" s="142"/>
      <c r="C38" s="33"/>
      <c r="D38" s="39" t="s">
        <v>200</v>
      </c>
      <c r="E38" s="3" t="s">
        <v>201</v>
      </c>
      <c r="F38" s="53">
        <v>19000</v>
      </c>
      <c r="G38" s="18"/>
      <c r="H38" s="40" t="s">
        <v>73</v>
      </c>
      <c r="I38" s="5"/>
      <c r="J38" s="5"/>
      <c r="K38" s="5"/>
      <c r="L38" s="5"/>
      <c r="M38" s="136"/>
      <c r="N38" s="136"/>
    </row>
    <row r="39" spans="1:14" x14ac:dyDescent="0.2">
      <c r="A39" s="137"/>
      <c r="B39" s="142"/>
      <c r="C39" s="33"/>
      <c r="D39" s="21" t="s">
        <v>109</v>
      </c>
      <c r="E39" s="22"/>
      <c r="F39" s="53">
        <f>SUM(F40:F44)</f>
        <v>30000</v>
      </c>
      <c r="G39" s="17"/>
      <c r="H39" s="36"/>
      <c r="I39" s="5"/>
      <c r="J39" s="5"/>
      <c r="K39" s="5"/>
      <c r="L39" s="5"/>
      <c r="M39" s="136"/>
      <c r="N39" s="136"/>
    </row>
    <row r="40" spans="1:14" x14ac:dyDescent="0.2">
      <c r="A40" s="137"/>
      <c r="B40" s="142"/>
      <c r="C40" s="33"/>
      <c r="D40" s="3" t="s">
        <v>99</v>
      </c>
      <c r="E40" s="41" t="s">
        <v>104</v>
      </c>
      <c r="F40" s="18">
        <v>12000</v>
      </c>
      <c r="G40" s="18"/>
      <c r="H40" s="36" t="s">
        <v>73</v>
      </c>
      <c r="I40" s="5"/>
      <c r="J40" s="5"/>
      <c r="K40" s="5"/>
      <c r="L40" s="5"/>
      <c r="M40" s="136"/>
      <c r="N40" s="136"/>
    </row>
    <row r="41" spans="1:14" x14ac:dyDescent="0.2">
      <c r="A41" s="137"/>
      <c r="B41" s="142"/>
      <c r="C41" s="33"/>
      <c r="D41" s="3" t="s">
        <v>100</v>
      </c>
      <c r="E41" s="41" t="s">
        <v>105</v>
      </c>
      <c r="F41" s="18">
        <v>5000</v>
      </c>
      <c r="G41" s="18"/>
      <c r="H41" s="36" t="s">
        <v>73</v>
      </c>
      <c r="I41" s="5"/>
      <c r="J41" s="5"/>
      <c r="K41" s="5"/>
      <c r="L41" s="5"/>
      <c r="M41" s="136"/>
      <c r="N41" s="136"/>
    </row>
    <row r="42" spans="1:14" x14ac:dyDescent="0.2">
      <c r="A42" s="137"/>
      <c r="B42" s="142"/>
      <c r="C42" s="33"/>
      <c r="D42" s="3" t="s">
        <v>101</v>
      </c>
      <c r="E42" s="41" t="s">
        <v>106</v>
      </c>
      <c r="F42" s="18">
        <v>3000</v>
      </c>
      <c r="G42" s="18"/>
      <c r="H42" s="36" t="s">
        <v>73</v>
      </c>
      <c r="I42" s="5"/>
      <c r="J42" s="5"/>
      <c r="K42" s="5"/>
      <c r="L42" s="5"/>
      <c r="M42" s="136"/>
      <c r="N42" s="136"/>
    </row>
    <row r="43" spans="1:14" x14ac:dyDescent="0.2">
      <c r="A43" s="137"/>
      <c r="B43" s="142"/>
      <c r="C43" s="33"/>
      <c r="D43" s="3" t="s">
        <v>102</v>
      </c>
      <c r="E43" s="41" t="s">
        <v>107</v>
      </c>
      <c r="F43" s="18">
        <v>5000</v>
      </c>
      <c r="G43" s="18"/>
      <c r="H43" s="36" t="s">
        <v>73</v>
      </c>
      <c r="I43" s="5"/>
      <c r="J43" s="5"/>
      <c r="K43" s="5"/>
      <c r="L43" s="5"/>
      <c r="M43" s="59"/>
      <c r="N43" s="59"/>
    </row>
    <row r="44" spans="1:14" x14ac:dyDescent="0.2">
      <c r="A44" s="137"/>
      <c r="B44" s="142"/>
      <c r="C44" s="33"/>
      <c r="D44" s="3" t="s">
        <v>103</v>
      </c>
      <c r="E44" s="41" t="s">
        <v>108</v>
      </c>
      <c r="F44" s="18">
        <v>5000</v>
      </c>
      <c r="G44" s="18"/>
      <c r="H44" s="36" t="s">
        <v>73</v>
      </c>
      <c r="I44" s="5"/>
      <c r="J44" s="5"/>
      <c r="K44" s="5"/>
      <c r="L44" s="5"/>
      <c r="M44" s="136"/>
      <c r="N44" s="136"/>
    </row>
    <row r="45" spans="1:14" x14ac:dyDescent="0.2">
      <c r="A45" s="137"/>
      <c r="B45" s="142"/>
      <c r="C45" s="121" t="s">
        <v>202</v>
      </c>
      <c r="D45" s="21" t="s">
        <v>110</v>
      </c>
      <c r="E45" s="3" t="s">
        <v>111</v>
      </c>
      <c r="F45" s="53">
        <v>55000</v>
      </c>
      <c r="G45" s="17"/>
      <c r="H45" s="40" t="s">
        <v>144</v>
      </c>
      <c r="I45" s="5"/>
      <c r="J45" s="5"/>
      <c r="K45" s="5"/>
      <c r="L45" s="5"/>
      <c r="M45" s="136"/>
      <c r="N45" s="136"/>
    </row>
    <row r="46" spans="1:14" x14ac:dyDescent="0.2">
      <c r="A46" s="137"/>
      <c r="B46" s="142"/>
      <c r="C46" s="33"/>
      <c r="D46" s="3"/>
      <c r="E46" s="3"/>
      <c r="F46" s="18"/>
      <c r="G46" s="18"/>
      <c r="H46" s="36"/>
      <c r="I46" s="5"/>
      <c r="J46" s="5"/>
      <c r="K46" s="5"/>
      <c r="L46" s="5"/>
      <c r="M46" s="136"/>
      <c r="N46" s="136"/>
    </row>
    <row r="47" spans="1:14" x14ac:dyDescent="0.2">
      <c r="A47" s="137"/>
      <c r="B47" s="143">
        <v>3223</v>
      </c>
      <c r="C47" s="33"/>
      <c r="D47" s="21" t="s">
        <v>113</v>
      </c>
      <c r="E47" s="3"/>
      <c r="F47" s="17">
        <f>SUM(F48:F49)</f>
        <v>100000</v>
      </c>
      <c r="G47" s="17">
        <f>135000/1.2</f>
        <v>112500</v>
      </c>
      <c r="H47" s="36"/>
      <c r="I47" s="5"/>
      <c r="J47" s="5"/>
      <c r="K47" s="5"/>
      <c r="L47" s="5"/>
      <c r="M47" s="136"/>
      <c r="N47" s="136"/>
    </row>
    <row r="48" spans="1:14" ht="33.75" x14ac:dyDescent="0.2">
      <c r="A48" s="137"/>
      <c r="B48" s="143"/>
      <c r="C48" s="33"/>
      <c r="D48" s="3" t="s">
        <v>112</v>
      </c>
      <c r="E48" s="3" t="s">
        <v>114</v>
      </c>
      <c r="F48" s="18">
        <v>42000</v>
      </c>
      <c r="G48" s="18"/>
      <c r="H48" s="40" t="s">
        <v>116</v>
      </c>
      <c r="I48" s="5"/>
      <c r="J48" s="40" t="s">
        <v>117</v>
      </c>
      <c r="K48" s="5"/>
      <c r="L48" s="5" t="s">
        <v>143</v>
      </c>
      <c r="M48" s="59"/>
      <c r="N48" s="59"/>
    </row>
    <row r="49" spans="1:14" ht="33.75" x14ac:dyDescent="0.2">
      <c r="A49" s="137"/>
      <c r="B49" s="143"/>
      <c r="C49" s="33"/>
      <c r="D49" s="3" t="s">
        <v>25</v>
      </c>
      <c r="E49" s="3" t="s">
        <v>115</v>
      </c>
      <c r="F49" s="18">
        <v>58000</v>
      </c>
      <c r="G49" s="18"/>
      <c r="H49" s="40" t="s">
        <v>116</v>
      </c>
      <c r="I49" s="5"/>
      <c r="J49" s="40" t="s">
        <v>117</v>
      </c>
      <c r="K49" s="5"/>
      <c r="L49" s="5" t="s">
        <v>143</v>
      </c>
      <c r="M49" s="136"/>
      <c r="N49" s="136"/>
    </row>
    <row r="50" spans="1:14" x14ac:dyDescent="0.2">
      <c r="A50" s="63"/>
      <c r="B50" s="144"/>
      <c r="C50" s="33"/>
      <c r="D50" s="21" t="s">
        <v>121</v>
      </c>
      <c r="E50" s="3" t="s">
        <v>120</v>
      </c>
      <c r="F50" s="17">
        <f>SUM(F51:F52)</f>
        <v>16800</v>
      </c>
      <c r="G50" s="17"/>
      <c r="H50" s="40"/>
      <c r="I50" s="5"/>
      <c r="J50" s="40"/>
      <c r="K50" s="5"/>
      <c r="L50" s="5"/>
      <c r="M50" s="59"/>
      <c r="N50" s="59"/>
    </row>
    <row r="51" spans="1:14" x14ac:dyDescent="0.2">
      <c r="A51" s="24" t="s">
        <v>3</v>
      </c>
      <c r="B51" s="45">
        <v>3224</v>
      </c>
      <c r="C51" s="2"/>
      <c r="D51" s="3" t="s">
        <v>118</v>
      </c>
      <c r="E51" s="21"/>
      <c r="F51" s="30">
        <v>8000</v>
      </c>
      <c r="G51" s="30"/>
      <c r="H51" s="36" t="s">
        <v>73</v>
      </c>
      <c r="I51" s="5"/>
      <c r="J51" s="5"/>
      <c r="K51" s="5"/>
      <c r="L51" s="5"/>
      <c r="M51" s="123"/>
      <c r="N51" s="123"/>
    </row>
    <row r="52" spans="1:14" x14ac:dyDescent="0.2">
      <c r="A52" s="10"/>
      <c r="B52" s="45"/>
      <c r="C52" s="1"/>
      <c r="D52" s="3" t="s">
        <v>119</v>
      </c>
      <c r="F52" s="30">
        <v>8800</v>
      </c>
      <c r="G52" s="30"/>
      <c r="H52" s="36" t="s">
        <v>73</v>
      </c>
      <c r="I52" s="5"/>
      <c r="J52" s="5"/>
      <c r="K52" s="5"/>
      <c r="L52" s="5"/>
      <c r="M52" s="61"/>
      <c r="N52" s="61"/>
    </row>
    <row r="53" spans="1:14" x14ac:dyDescent="0.2">
      <c r="A53" s="10"/>
      <c r="B53" s="45"/>
      <c r="C53" s="1"/>
      <c r="D53" s="3"/>
      <c r="E53" s="3"/>
      <c r="F53" s="30"/>
      <c r="G53" s="30"/>
      <c r="H53" s="36"/>
      <c r="I53" s="5"/>
      <c r="J53" s="5"/>
      <c r="K53" s="5"/>
      <c r="L53" s="5"/>
      <c r="M53" s="61"/>
      <c r="N53" s="61"/>
    </row>
    <row r="54" spans="1:14" x14ac:dyDescent="0.2">
      <c r="A54" s="24" t="s">
        <v>161</v>
      </c>
      <c r="B54" s="45">
        <v>3225</v>
      </c>
      <c r="C54" s="2"/>
      <c r="D54" s="21" t="s">
        <v>5</v>
      </c>
      <c r="E54" s="21"/>
      <c r="F54" s="31">
        <f>SUM(F57:F61)</f>
        <v>8960</v>
      </c>
      <c r="G54" s="31">
        <f>21000/1.25+10000/1.25</f>
        <v>24800</v>
      </c>
      <c r="H54" s="36"/>
      <c r="I54" s="5"/>
      <c r="J54" s="5"/>
      <c r="K54" s="5"/>
      <c r="L54" s="5"/>
      <c r="M54" s="123"/>
      <c r="N54" s="123"/>
    </row>
    <row r="55" spans="1:14" ht="12.75" hidden="1" customHeight="1" x14ac:dyDescent="0.2">
      <c r="A55" s="10" t="s">
        <v>40</v>
      </c>
      <c r="B55" s="45"/>
      <c r="C55" s="1"/>
      <c r="D55" s="3"/>
      <c r="E55" s="3"/>
      <c r="F55" s="30"/>
      <c r="G55" s="30"/>
      <c r="H55" s="36"/>
      <c r="I55" s="5"/>
      <c r="J55" s="5"/>
      <c r="K55" s="5"/>
      <c r="L55" s="5"/>
      <c r="M55" s="123"/>
      <c r="N55" s="123"/>
    </row>
    <row r="56" spans="1:14" ht="12.75" hidden="1" customHeight="1" x14ac:dyDescent="0.2">
      <c r="A56" s="10" t="s">
        <v>41</v>
      </c>
      <c r="B56" s="45">
        <v>3227</v>
      </c>
      <c r="C56" s="1"/>
      <c r="D56" s="3" t="s">
        <v>26</v>
      </c>
      <c r="E56" s="3"/>
      <c r="F56" s="30"/>
      <c r="G56" s="30"/>
      <c r="H56" s="36"/>
      <c r="I56" s="5"/>
      <c r="J56" s="5"/>
      <c r="K56" s="5"/>
      <c r="L56" s="5"/>
      <c r="M56" s="123"/>
      <c r="N56" s="123"/>
    </row>
    <row r="57" spans="1:14" ht="12.75" customHeight="1" x14ac:dyDescent="0.2">
      <c r="A57" s="10"/>
      <c r="B57" s="45"/>
      <c r="C57" s="1"/>
      <c r="D57" s="3" t="s">
        <v>148</v>
      </c>
      <c r="E57" s="3"/>
      <c r="F57" s="30">
        <v>1500</v>
      </c>
      <c r="G57" s="30"/>
      <c r="H57" s="36" t="s">
        <v>73</v>
      </c>
      <c r="I57" s="5"/>
      <c r="J57" s="5"/>
      <c r="K57" s="5"/>
      <c r="L57" s="5"/>
      <c r="M57" s="61"/>
      <c r="N57" s="61"/>
    </row>
    <row r="58" spans="1:14" ht="12.75" customHeight="1" x14ac:dyDescent="0.2">
      <c r="A58" s="10"/>
      <c r="B58" s="45"/>
      <c r="C58" s="1"/>
      <c r="D58" s="3" t="s">
        <v>149</v>
      </c>
      <c r="E58" s="3"/>
      <c r="F58" s="30">
        <v>500</v>
      </c>
      <c r="G58" s="30"/>
      <c r="H58" s="36" t="s">
        <v>73</v>
      </c>
      <c r="I58" s="5"/>
      <c r="J58" s="5"/>
      <c r="K58" s="5"/>
      <c r="L58" s="5"/>
      <c r="M58" s="61"/>
      <c r="N58" s="61"/>
    </row>
    <row r="59" spans="1:14" ht="12.75" customHeight="1" x14ac:dyDescent="0.2">
      <c r="A59" s="10"/>
      <c r="B59" s="45"/>
      <c r="C59" s="1"/>
      <c r="D59" s="3" t="s">
        <v>150</v>
      </c>
      <c r="E59" s="3"/>
      <c r="F59" s="30">
        <v>960</v>
      </c>
      <c r="G59" s="30"/>
      <c r="H59" s="36" t="s">
        <v>73</v>
      </c>
      <c r="I59" s="5"/>
      <c r="J59" s="5"/>
      <c r="K59" s="5"/>
      <c r="L59" s="5"/>
      <c r="M59" s="61"/>
      <c r="N59" s="61"/>
    </row>
    <row r="60" spans="1:14" ht="12.75" customHeight="1" x14ac:dyDescent="0.2">
      <c r="A60" s="10"/>
      <c r="B60" s="45"/>
      <c r="C60" s="1"/>
      <c r="D60" s="3" t="s">
        <v>151</v>
      </c>
      <c r="E60" s="3"/>
      <c r="F60" s="30">
        <v>1000</v>
      </c>
      <c r="G60" s="30"/>
      <c r="H60" s="36" t="s">
        <v>73</v>
      </c>
      <c r="I60" s="5"/>
      <c r="J60" s="5"/>
      <c r="K60" s="5"/>
      <c r="L60" s="5"/>
      <c r="M60" s="61"/>
      <c r="N60" s="61"/>
    </row>
    <row r="61" spans="1:14" ht="12.75" customHeight="1" x14ac:dyDescent="0.2">
      <c r="A61" s="10"/>
      <c r="B61" s="45"/>
      <c r="C61" s="1"/>
      <c r="D61" s="3" t="s">
        <v>152</v>
      </c>
      <c r="E61" s="3"/>
      <c r="F61" s="30">
        <v>5000</v>
      </c>
      <c r="G61" s="30"/>
      <c r="H61" s="36" t="s">
        <v>73</v>
      </c>
      <c r="I61" s="5"/>
      <c r="J61" s="5"/>
      <c r="K61" s="5"/>
      <c r="L61" s="5"/>
      <c r="M61" s="61"/>
      <c r="N61" s="61"/>
    </row>
    <row r="62" spans="1:14" x14ac:dyDescent="0.2">
      <c r="A62" s="24" t="s">
        <v>4</v>
      </c>
      <c r="B62" s="45">
        <v>3227</v>
      </c>
      <c r="C62" s="2"/>
      <c r="D62" s="21" t="s">
        <v>26</v>
      </c>
      <c r="E62" s="21"/>
      <c r="F62" s="31">
        <v>2156</v>
      </c>
      <c r="G62" s="31">
        <f>2695/1.25</f>
        <v>2156</v>
      </c>
      <c r="H62" s="36" t="s">
        <v>73</v>
      </c>
      <c r="I62" s="5"/>
      <c r="J62" s="5"/>
      <c r="K62" s="5"/>
      <c r="L62" s="5"/>
      <c r="M62" s="123"/>
      <c r="N62" s="123"/>
    </row>
    <row r="63" spans="1:14" x14ac:dyDescent="0.2">
      <c r="A63" s="128" t="s">
        <v>6</v>
      </c>
      <c r="B63" s="45">
        <v>3231</v>
      </c>
      <c r="C63" s="2"/>
      <c r="D63" s="21" t="s">
        <v>27</v>
      </c>
      <c r="E63" s="21"/>
      <c r="F63" s="31">
        <f>SUM(F64:F66)</f>
        <v>35600</v>
      </c>
      <c r="G63" s="31">
        <f>13333/1.25+38000/1.25</f>
        <v>41066.400000000001</v>
      </c>
      <c r="H63" s="36"/>
      <c r="I63" s="5"/>
      <c r="J63" s="5"/>
      <c r="K63" s="5"/>
      <c r="L63" s="5"/>
      <c r="M63" s="123"/>
      <c r="N63" s="123"/>
    </row>
    <row r="64" spans="1:14" x14ac:dyDescent="0.2">
      <c r="A64" s="133"/>
      <c r="B64" s="130"/>
      <c r="C64" s="121" t="s">
        <v>203</v>
      </c>
      <c r="D64" s="3" t="s">
        <v>74</v>
      </c>
      <c r="E64" s="120" t="s">
        <v>217</v>
      </c>
      <c r="F64" s="30">
        <v>24420</v>
      </c>
      <c r="G64" s="30"/>
      <c r="H64" s="36" t="s">
        <v>122</v>
      </c>
      <c r="I64" s="5"/>
      <c r="J64" s="5"/>
      <c r="K64" s="5"/>
      <c r="L64" s="5"/>
      <c r="M64" s="61"/>
      <c r="N64" s="61"/>
    </row>
    <row r="65" spans="1:14" x14ac:dyDescent="0.2">
      <c r="A65" s="133"/>
      <c r="B65" s="131"/>
      <c r="C65" s="33"/>
      <c r="D65" s="3" t="s">
        <v>64</v>
      </c>
      <c r="E65" s="3"/>
      <c r="F65" s="30">
        <v>3500</v>
      </c>
      <c r="G65" s="30"/>
      <c r="H65" s="36" t="s">
        <v>73</v>
      </c>
      <c r="I65" s="5"/>
      <c r="J65" s="5"/>
      <c r="K65" s="5"/>
      <c r="L65" s="5"/>
      <c r="M65" s="61"/>
      <c r="N65" s="61"/>
    </row>
    <row r="66" spans="1:14" x14ac:dyDescent="0.2">
      <c r="A66" s="133"/>
      <c r="B66" s="131"/>
      <c r="C66" s="33"/>
      <c r="D66" s="3" t="s">
        <v>63</v>
      </c>
      <c r="E66" s="3"/>
      <c r="F66" s="30">
        <v>7680</v>
      </c>
      <c r="G66" s="30"/>
      <c r="H66" s="36" t="s">
        <v>73</v>
      </c>
      <c r="I66" s="5"/>
      <c r="J66" s="5"/>
      <c r="K66" s="5"/>
      <c r="L66" s="5"/>
      <c r="M66" s="61"/>
      <c r="N66" s="61"/>
    </row>
    <row r="67" spans="1:14" x14ac:dyDescent="0.2">
      <c r="A67" s="134"/>
      <c r="B67" s="135"/>
      <c r="C67" s="27"/>
      <c r="D67" s="3"/>
      <c r="E67" s="3"/>
      <c r="F67" s="30"/>
      <c r="G67" s="30"/>
      <c r="H67" s="36"/>
      <c r="I67" s="5"/>
      <c r="J67" s="5"/>
      <c r="K67" s="5"/>
      <c r="L67" s="5"/>
      <c r="M67" s="61"/>
      <c r="N67" s="61"/>
    </row>
    <row r="68" spans="1:14" x14ac:dyDescent="0.2">
      <c r="A68" s="71" t="s">
        <v>8</v>
      </c>
      <c r="B68" s="65">
        <v>3233</v>
      </c>
      <c r="C68" s="27"/>
      <c r="D68" s="21" t="s">
        <v>153</v>
      </c>
      <c r="E68" s="3"/>
      <c r="F68" s="31">
        <v>400</v>
      </c>
      <c r="G68" s="31">
        <f>1500/1.25</f>
        <v>1200</v>
      </c>
      <c r="H68" s="36" t="s">
        <v>73</v>
      </c>
      <c r="I68" s="5"/>
      <c r="J68" s="5"/>
      <c r="K68" s="5"/>
      <c r="L68" s="5"/>
      <c r="M68" s="61"/>
      <c r="N68" s="61"/>
    </row>
    <row r="69" spans="1:14" x14ac:dyDescent="0.2">
      <c r="A69" s="128" t="s">
        <v>9</v>
      </c>
      <c r="B69" s="45">
        <v>3232</v>
      </c>
      <c r="C69" s="2"/>
      <c r="D69" s="21" t="s">
        <v>7</v>
      </c>
      <c r="E69" s="21"/>
      <c r="F69" s="31">
        <f>SUM(F70:F73)</f>
        <v>54612.39</v>
      </c>
      <c r="G69" s="31">
        <f>40000/1.25+20000/1.25</f>
        <v>48000</v>
      </c>
      <c r="H69" s="36"/>
      <c r="I69" s="5"/>
      <c r="J69" s="5"/>
      <c r="K69" s="5"/>
      <c r="L69" s="5"/>
      <c r="M69" s="123"/>
      <c r="N69" s="123"/>
    </row>
    <row r="70" spans="1:14" hidden="1" x14ac:dyDescent="0.2">
      <c r="A70" s="129"/>
      <c r="B70" s="46"/>
      <c r="C70" s="42"/>
      <c r="D70" s="56"/>
      <c r="E70" s="57"/>
      <c r="F70" s="58"/>
      <c r="G70" s="50"/>
      <c r="H70" s="36"/>
      <c r="I70" s="5"/>
      <c r="J70" s="5"/>
      <c r="K70" s="5"/>
      <c r="L70" s="5"/>
      <c r="M70" s="61"/>
      <c r="N70" s="61"/>
    </row>
    <row r="71" spans="1:14" hidden="1" x14ac:dyDescent="0.2">
      <c r="A71" s="129"/>
      <c r="B71" s="46"/>
      <c r="C71" s="42"/>
      <c r="D71" s="56"/>
      <c r="E71" s="57"/>
      <c r="F71" s="58"/>
      <c r="G71" s="50"/>
      <c r="H71" s="36"/>
      <c r="I71" s="5"/>
      <c r="J71" s="5"/>
      <c r="K71" s="5"/>
      <c r="L71" s="5"/>
      <c r="M71" s="61"/>
      <c r="N71" s="61"/>
    </row>
    <row r="72" spans="1:14" hidden="1" x14ac:dyDescent="0.2">
      <c r="A72" s="129"/>
      <c r="B72" s="46"/>
      <c r="C72" s="42"/>
      <c r="D72" s="56"/>
      <c r="E72" s="57"/>
      <c r="F72" s="58"/>
      <c r="G72" s="50"/>
      <c r="H72" s="36"/>
      <c r="I72" s="5"/>
      <c r="J72" s="5"/>
      <c r="K72" s="5"/>
      <c r="L72" s="5"/>
      <c r="M72" s="61"/>
      <c r="N72" s="61"/>
    </row>
    <row r="73" spans="1:14" x14ac:dyDescent="0.2">
      <c r="A73" s="129"/>
      <c r="B73" s="46"/>
      <c r="C73" s="42"/>
      <c r="D73" s="55" t="s">
        <v>123</v>
      </c>
      <c r="E73" s="21"/>
      <c r="F73" s="52">
        <f>SUM(F74:F82)</f>
        <v>54612.39</v>
      </c>
      <c r="G73" s="50"/>
      <c r="H73" s="36"/>
      <c r="I73" s="5"/>
      <c r="J73" s="5"/>
      <c r="K73" s="5"/>
      <c r="L73" s="5"/>
      <c r="M73" s="61"/>
      <c r="N73" s="61"/>
    </row>
    <row r="74" spans="1:14" x14ac:dyDescent="0.2">
      <c r="A74" s="133"/>
      <c r="B74" s="130"/>
      <c r="C74" s="26"/>
      <c r="D74" s="3" t="s">
        <v>159</v>
      </c>
      <c r="E74" s="3"/>
      <c r="F74" s="30">
        <v>2000</v>
      </c>
      <c r="G74" s="30"/>
      <c r="H74" s="36" t="s">
        <v>73</v>
      </c>
      <c r="I74" s="5"/>
      <c r="J74" s="11"/>
      <c r="K74" s="11"/>
      <c r="L74" s="11"/>
      <c r="M74" s="61"/>
      <c r="N74" s="61"/>
    </row>
    <row r="75" spans="1:14" x14ac:dyDescent="0.2">
      <c r="A75" s="133"/>
      <c r="B75" s="131"/>
      <c r="C75" s="33"/>
      <c r="D75" s="3" t="s">
        <v>51</v>
      </c>
      <c r="E75" s="3"/>
      <c r="F75" s="30">
        <v>6000</v>
      </c>
      <c r="G75" s="30"/>
      <c r="H75" s="36" t="s">
        <v>73</v>
      </c>
      <c r="I75" s="5"/>
      <c r="J75" s="5"/>
      <c r="K75" s="5"/>
      <c r="L75" s="5"/>
      <c r="M75" s="61"/>
      <c r="N75" s="61"/>
    </row>
    <row r="76" spans="1:14" x14ac:dyDescent="0.2">
      <c r="A76" s="133"/>
      <c r="B76" s="131"/>
      <c r="C76" s="33"/>
      <c r="D76" s="3" t="s">
        <v>52</v>
      </c>
      <c r="E76" s="3"/>
      <c r="F76" s="30">
        <v>7000</v>
      </c>
      <c r="G76" s="30"/>
      <c r="H76" s="36" t="s">
        <v>73</v>
      </c>
      <c r="I76" s="5"/>
      <c r="J76" s="5"/>
      <c r="K76" s="5"/>
      <c r="L76" s="5"/>
      <c r="M76" s="61"/>
      <c r="N76" s="61"/>
    </row>
    <row r="77" spans="1:14" x14ac:dyDescent="0.2">
      <c r="A77" s="133"/>
      <c r="B77" s="131"/>
      <c r="C77" s="33"/>
      <c r="D77" s="3" t="s">
        <v>53</v>
      </c>
      <c r="E77" s="3"/>
      <c r="F77" s="30">
        <v>5000</v>
      </c>
      <c r="G77" s="30"/>
      <c r="H77" s="36" t="s">
        <v>73</v>
      </c>
      <c r="I77" s="5"/>
      <c r="J77" s="5"/>
      <c r="K77" s="5"/>
      <c r="L77" s="5"/>
      <c r="M77" s="61"/>
      <c r="N77" s="61"/>
    </row>
    <row r="78" spans="1:14" x14ac:dyDescent="0.2">
      <c r="A78" s="133"/>
      <c r="B78" s="131"/>
      <c r="C78" s="33"/>
      <c r="D78" s="3" t="s">
        <v>54</v>
      </c>
      <c r="E78" s="3"/>
      <c r="F78" s="30">
        <v>2500</v>
      </c>
      <c r="G78" s="30"/>
      <c r="H78" s="36" t="s">
        <v>73</v>
      </c>
      <c r="I78" s="5"/>
      <c r="J78" s="5"/>
      <c r="K78" s="5"/>
      <c r="L78" s="5"/>
      <c r="M78" s="61"/>
      <c r="N78" s="61"/>
    </row>
    <row r="79" spans="1:14" x14ac:dyDescent="0.2">
      <c r="A79" s="133"/>
      <c r="B79" s="131"/>
      <c r="C79" s="33"/>
      <c r="D79" s="3" t="s">
        <v>124</v>
      </c>
      <c r="E79" s="3"/>
      <c r="F79" s="30">
        <v>15000</v>
      </c>
      <c r="G79" s="30"/>
      <c r="H79" s="36" t="s">
        <v>73</v>
      </c>
      <c r="I79" s="5"/>
      <c r="J79" s="5"/>
      <c r="K79" s="5"/>
      <c r="L79" s="5"/>
      <c r="M79" s="61"/>
      <c r="N79" s="61"/>
    </row>
    <row r="80" spans="1:14" x14ac:dyDescent="0.2">
      <c r="A80" s="133"/>
      <c r="B80" s="131"/>
      <c r="C80" s="33"/>
      <c r="D80" s="3" t="s">
        <v>59</v>
      </c>
      <c r="E80" s="3"/>
      <c r="F80" s="30">
        <v>8000</v>
      </c>
      <c r="G80" s="30"/>
      <c r="H80" s="36" t="s">
        <v>73</v>
      </c>
      <c r="I80" s="5"/>
      <c r="J80" s="5"/>
      <c r="K80" s="5"/>
      <c r="L80" s="5"/>
      <c r="M80" s="61"/>
      <c r="N80" s="61"/>
    </row>
    <row r="81" spans="1:14" x14ac:dyDescent="0.2">
      <c r="A81" s="133"/>
      <c r="B81" s="131"/>
      <c r="C81" s="33"/>
      <c r="D81" s="3" t="s">
        <v>65</v>
      </c>
      <c r="E81" s="3"/>
      <c r="F81" s="30">
        <v>5000</v>
      </c>
      <c r="G81" s="30"/>
      <c r="H81" s="36" t="s">
        <v>73</v>
      </c>
      <c r="I81" s="5"/>
      <c r="J81" s="5"/>
      <c r="K81" s="5"/>
      <c r="L81" s="5"/>
      <c r="M81" s="61"/>
      <c r="N81" s="61"/>
    </row>
    <row r="82" spans="1:14" x14ac:dyDescent="0.2">
      <c r="A82" s="134"/>
      <c r="B82" s="135"/>
      <c r="C82" s="27"/>
      <c r="D82" s="3" t="s">
        <v>75</v>
      </c>
      <c r="E82" s="3"/>
      <c r="F82" s="30">
        <v>4112.3900000000003</v>
      </c>
      <c r="G82" s="30"/>
      <c r="H82" s="36" t="s">
        <v>73</v>
      </c>
      <c r="I82" s="5"/>
      <c r="J82" s="5"/>
      <c r="K82" s="5"/>
      <c r="L82" s="5"/>
      <c r="M82" s="61"/>
      <c r="N82" s="61"/>
    </row>
    <row r="83" spans="1:14" x14ac:dyDescent="0.2">
      <c r="A83" s="128" t="s">
        <v>10</v>
      </c>
      <c r="B83" s="45">
        <v>3234</v>
      </c>
      <c r="C83" s="1"/>
      <c r="D83" s="21" t="s">
        <v>11</v>
      </c>
      <c r="E83" s="21"/>
      <c r="F83" s="31">
        <f>SUM(F84:F88)</f>
        <v>26400</v>
      </c>
      <c r="G83" s="31">
        <f>34000/1.25</f>
        <v>27200</v>
      </c>
      <c r="H83" s="36"/>
      <c r="I83" s="5"/>
      <c r="J83" s="5"/>
      <c r="K83" s="5"/>
      <c r="L83" s="5"/>
      <c r="M83" s="123"/>
      <c r="N83" s="123"/>
    </row>
    <row r="84" spans="1:14" x14ac:dyDescent="0.2">
      <c r="A84" s="133"/>
      <c r="B84" s="130"/>
      <c r="C84" s="26"/>
      <c r="D84" s="3" t="s">
        <v>125</v>
      </c>
      <c r="E84" s="3"/>
      <c r="F84" s="30">
        <v>12000</v>
      </c>
      <c r="G84" s="30"/>
      <c r="H84" s="36" t="s">
        <v>73</v>
      </c>
      <c r="I84" s="5"/>
      <c r="J84" s="5"/>
      <c r="K84" s="5"/>
      <c r="L84" s="5"/>
      <c r="M84" s="123"/>
      <c r="N84" s="123"/>
    </row>
    <row r="85" spans="1:14" x14ac:dyDescent="0.2">
      <c r="A85" s="133"/>
      <c r="B85" s="131"/>
      <c r="C85" s="33"/>
      <c r="D85" s="3" t="s">
        <v>55</v>
      </c>
      <c r="E85" s="3"/>
      <c r="F85" s="30">
        <v>7500</v>
      </c>
      <c r="G85" s="30"/>
      <c r="H85" s="36" t="s">
        <v>73</v>
      </c>
      <c r="I85" s="5"/>
      <c r="J85" s="5"/>
      <c r="K85" s="5"/>
      <c r="L85" s="5"/>
      <c r="M85" s="61"/>
      <c r="N85" s="61"/>
    </row>
    <row r="86" spans="1:14" x14ac:dyDescent="0.2">
      <c r="A86" s="133"/>
      <c r="B86" s="131"/>
      <c r="C86" s="33"/>
      <c r="D86" s="3" t="s">
        <v>56</v>
      </c>
      <c r="E86" s="3"/>
      <c r="F86" s="30">
        <v>600</v>
      </c>
      <c r="G86" s="30"/>
      <c r="H86" s="36" t="s">
        <v>73</v>
      </c>
      <c r="I86" s="5"/>
      <c r="J86" s="5"/>
      <c r="K86" s="5"/>
      <c r="L86" s="5"/>
      <c r="M86" s="61"/>
      <c r="N86" s="61"/>
    </row>
    <row r="87" spans="1:14" x14ac:dyDescent="0.2">
      <c r="A87" s="133"/>
      <c r="B87" s="131"/>
      <c r="C87" s="33"/>
      <c r="D87" s="3" t="s">
        <v>57</v>
      </c>
      <c r="E87" s="3"/>
      <c r="F87" s="30">
        <v>3500</v>
      </c>
      <c r="G87" s="30"/>
      <c r="H87" s="36" t="s">
        <v>73</v>
      </c>
      <c r="I87" s="5"/>
      <c r="J87" s="5"/>
      <c r="K87" s="5"/>
      <c r="L87" s="5"/>
      <c r="M87" s="61"/>
      <c r="N87" s="61"/>
    </row>
    <row r="88" spans="1:14" x14ac:dyDescent="0.2">
      <c r="A88" s="134"/>
      <c r="B88" s="135"/>
      <c r="C88" s="27"/>
      <c r="D88" s="3" t="s">
        <v>126</v>
      </c>
      <c r="E88" s="3"/>
      <c r="F88" s="30">
        <v>2800</v>
      </c>
      <c r="G88" s="30"/>
      <c r="H88" s="36" t="s">
        <v>73</v>
      </c>
      <c r="I88" s="5"/>
      <c r="J88" s="5"/>
      <c r="K88" s="5"/>
      <c r="L88" s="5"/>
      <c r="M88" s="61"/>
      <c r="N88" s="61"/>
    </row>
    <row r="89" spans="1:14" x14ac:dyDescent="0.2">
      <c r="A89" s="24" t="s">
        <v>12</v>
      </c>
      <c r="B89" s="45">
        <v>3235</v>
      </c>
      <c r="C89" s="2"/>
      <c r="D89" s="21" t="s">
        <v>44</v>
      </c>
      <c r="E89" s="21"/>
      <c r="F89" s="31">
        <v>2240</v>
      </c>
      <c r="G89" s="31">
        <f>800/1.25</f>
        <v>640</v>
      </c>
      <c r="H89" s="36" t="s">
        <v>73</v>
      </c>
      <c r="I89" s="5"/>
      <c r="J89" s="5"/>
      <c r="K89" s="5"/>
      <c r="L89" s="5"/>
      <c r="M89" s="61"/>
      <c r="N89" s="61"/>
    </row>
    <row r="90" spans="1:14" x14ac:dyDescent="0.2">
      <c r="A90" s="128" t="s">
        <v>14</v>
      </c>
      <c r="B90" s="45">
        <v>3236</v>
      </c>
      <c r="C90" s="2"/>
      <c r="D90" s="21" t="s">
        <v>21</v>
      </c>
      <c r="E90" s="21"/>
      <c r="F90" s="31">
        <f>SUM(F91:F92)</f>
        <v>12000</v>
      </c>
      <c r="G90" s="31">
        <v>12000</v>
      </c>
      <c r="H90" s="36"/>
      <c r="I90" s="5"/>
      <c r="J90" s="5"/>
      <c r="K90" s="5"/>
      <c r="L90" s="5"/>
      <c r="M90" s="123"/>
      <c r="N90" s="123"/>
    </row>
    <row r="91" spans="1:14" x14ac:dyDescent="0.2">
      <c r="A91" s="133"/>
      <c r="B91" s="130"/>
      <c r="C91" s="28"/>
      <c r="D91" s="3" t="s">
        <v>67</v>
      </c>
      <c r="E91" s="3"/>
      <c r="F91" s="30">
        <v>11000</v>
      </c>
      <c r="G91" s="30"/>
      <c r="H91" s="36" t="s">
        <v>73</v>
      </c>
      <c r="I91" s="5"/>
      <c r="J91" s="5"/>
      <c r="K91" s="5"/>
      <c r="L91" s="5"/>
      <c r="M91" s="61"/>
      <c r="N91" s="61"/>
    </row>
    <row r="92" spans="1:14" x14ac:dyDescent="0.2">
      <c r="A92" s="134"/>
      <c r="B92" s="135"/>
      <c r="C92" s="27"/>
      <c r="D92" s="3" t="s">
        <v>127</v>
      </c>
      <c r="E92" s="3"/>
      <c r="F92" s="30">
        <v>1000</v>
      </c>
      <c r="G92" s="30"/>
      <c r="H92" s="36" t="s">
        <v>73</v>
      </c>
      <c r="I92" s="5"/>
      <c r="J92" s="5"/>
      <c r="K92" s="5"/>
      <c r="L92" s="5"/>
      <c r="M92" s="61"/>
      <c r="N92" s="61"/>
    </row>
    <row r="93" spans="1:14" x14ac:dyDescent="0.2">
      <c r="A93" s="128" t="s">
        <v>15</v>
      </c>
      <c r="B93" s="45">
        <v>3237</v>
      </c>
      <c r="C93" s="2"/>
      <c r="D93" s="21" t="s">
        <v>66</v>
      </c>
      <c r="E93" s="21"/>
      <c r="F93" s="31">
        <f>SUM(F94:F95)</f>
        <v>5899.2</v>
      </c>
      <c r="G93" s="31">
        <f>6874/1.25+1000/1.25</f>
        <v>6299.2</v>
      </c>
      <c r="H93" s="36"/>
      <c r="I93" s="5"/>
      <c r="J93" s="5"/>
      <c r="K93" s="5"/>
      <c r="L93" s="5"/>
      <c r="M93" s="123"/>
      <c r="N93" s="123"/>
    </row>
    <row r="94" spans="1:14" x14ac:dyDescent="0.2">
      <c r="A94" s="133"/>
      <c r="B94" s="130"/>
      <c r="C94" s="26"/>
      <c r="D94" s="3" t="s">
        <v>129</v>
      </c>
      <c r="E94" s="3"/>
      <c r="F94" s="30">
        <v>1500</v>
      </c>
      <c r="G94" s="30"/>
      <c r="H94" s="36"/>
      <c r="I94" s="5"/>
      <c r="J94" s="5"/>
      <c r="K94" s="5"/>
      <c r="L94" s="5"/>
      <c r="M94" s="123"/>
      <c r="N94" s="123"/>
    </row>
    <row r="95" spans="1:14" x14ac:dyDescent="0.2">
      <c r="A95" s="134"/>
      <c r="B95" s="135"/>
      <c r="C95" s="27"/>
      <c r="D95" s="3" t="s">
        <v>128</v>
      </c>
      <c r="E95" s="3"/>
      <c r="F95" s="30">
        <v>4399.2</v>
      </c>
      <c r="G95" s="30"/>
      <c r="H95" s="36" t="s">
        <v>73</v>
      </c>
      <c r="I95" s="5"/>
      <c r="J95" s="5"/>
      <c r="K95" s="5"/>
      <c r="L95" s="5"/>
      <c r="M95" s="124"/>
      <c r="N95" s="123"/>
    </row>
    <row r="96" spans="1:14" x14ac:dyDescent="0.2">
      <c r="A96" s="128" t="s">
        <v>17</v>
      </c>
      <c r="B96" s="45">
        <v>3238</v>
      </c>
      <c r="C96" s="2"/>
      <c r="D96" s="21" t="s">
        <v>13</v>
      </c>
      <c r="E96" s="21"/>
      <c r="F96" s="31">
        <f>SUM(F97)</f>
        <v>14730.4</v>
      </c>
      <c r="G96" s="31">
        <f>15000/1.25</f>
        <v>12000</v>
      </c>
      <c r="H96" s="36"/>
      <c r="I96" s="5"/>
      <c r="J96" s="5"/>
      <c r="K96" s="5"/>
      <c r="L96" s="5"/>
      <c r="M96" s="123"/>
      <c r="N96" s="123"/>
    </row>
    <row r="97" spans="1:14" x14ac:dyDescent="0.2">
      <c r="A97" s="129"/>
      <c r="B97" s="64"/>
      <c r="C97" s="28"/>
      <c r="D97" s="3" t="s">
        <v>130</v>
      </c>
      <c r="E97" s="22"/>
      <c r="F97" s="30">
        <v>14730.4</v>
      </c>
      <c r="G97" s="30"/>
      <c r="H97" s="36" t="s">
        <v>73</v>
      </c>
      <c r="I97" s="5"/>
      <c r="J97" s="5"/>
      <c r="K97" s="5"/>
      <c r="L97" s="5"/>
      <c r="M97" s="61"/>
      <c r="N97" s="61"/>
    </row>
    <row r="98" spans="1:14" x14ac:dyDescent="0.2">
      <c r="A98" s="24" t="s">
        <v>18</v>
      </c>
      <c r="B98" s="47">
        <v>3239</v>
      </c>
      <c r="C98" s="25"/>
      <c r="D98" s="21" t="s">
        <v>28</v>
      </c>
      <c r="E98" s="21"/>
      <c r="F98" s="31">
        <v>16440</v>
      </c>
      <c r="G98" s="31">
        <f>3000/1.25+9000/1.25</f>
        <v>9600</v>
      </c>
      <c r="H98" s="36" t="s">
        <v>73</v>
      </c>
      <c r="I98" s="5"/>
      <c r="J98" s="5"/>
      <c r="K98" s="5"/>
      <c r="L98" s="5"/>
      <c r="M98" s="123"/>
      <c r="N98" s="123"/>
    </row>
    <row r="99" spans="1:14" x14ac:dyDescent="0.2">
      <c r="A99" s="24"/>
      <c r="B99" s="47">
        <v>3292</v>
      </c>
      <c r="C99" s="25"/>
      <c r="D99" s="21" t="s">
        <v>155</v>
      </c>
      <c r="E99" s="21"/>
      <c r="F99" s="31">
        <v>11120</v>
      </c>
      <c r="G99" s="31">
        <f>13900</f>
        <v>13900</v>
      </c>
      <c r="H99" s="36" t="s">
        <v>73</v>
      </c>
      <c r="I99" s="5"/>
      <c r="J99" s="5"/>
      <c r="K99" s="5"/>
      <c r="L99" s="5"/>
      <c r="M99" s="61"/>
      <c r="N99" s="61"/>
    </row>
    <row r="100" spans="1:14" x14ac:dyDescent="0.2">
      <c r="A100" s="24" t="s">
        <v>19</v>
      </c>
      <c r="B100" s="45">
        <v>3293</v>
      </c>
      <c r="C100" s="2"/>
      <c r="D100" s="21" t="s">
        <v>58</v>
      </c>
      <c r="E100" s="21"/>
      <c r="F100" s="31">
        <v>4400</v>
      </c>
      <c r="G100" s="31">
        <f>9000/1.25</f>
        <v>7200</v>
      </c>
      <c r="H100" s="36" t="s">
        <v>73</v>
      </c>
      <c r="I100" s="5"/>
      <c r="J100" s="5"/>
      <c r="K100" s="5"/>
      <c r="L100" s="5"/>
      <c r="M100" s="61"/>
      <c r="N100" s="61"/>
    </row>
    <row r="101" spans="1:14" x14ac:dyDescent="0.2">
      <c r="A101" s="24" t="s">
        <v>162</v>
      </c>
      <c r="B101" s="45">
        <v>3294</v>
      </c>
      <c r="C101" s="2"/>
      <c r="D101" s="21" t="s">
        <v>16</v>
      </c>
      <c r="E101" s="21"/>
      <c r="F101" s="31">
        <v>920</v>
      </c>
      <c r="G101" s="31">
        <f>1150/1.25</f>
        <v>920</v>
      </c>
      <c r="H101" s="36" t="s">
        <v>73</v>
      </c>
      <c r="I101" s="5"/>
      <c r="J101" s="5"/>
      <c r="K101" s="5"/>
      <c r="L101" s="5"/>
      <c r="M101" s="123"/>
      <c r="N101" s="123"/>
    </row>
    <row r="102" spans="1:14" x14ac:dyDescent="0.2">
      <c r="A102" s="24" t="s">
        <v>163</v>
      </c>
      <c r="B102" s="45">
        <v>3295</v>
      </c>
      <c r="C102" s="2"/>
      <c r="D102" s="21" t="s">
        <v>45</v>
      </c>
      <c r="E102" s="21"/>
      <c r="F102" s="31">
        <v>800</v>
      </c>
      <c r="G102" s="30">
        <f>1500/1.25</f>
        <v>1200</v>
      </c>
      <c r="H102" s="36" t="s">
        <v>73</v>
      </c>
      <c r="I102" s="5"/>
      <c r="J102" s="5"/>
      <c r="K102" s="5"/>
      <c r="L102" s="5"/>
      <c r="M102" s="61"/>
      <c r="N102" s="61"/>
    </row>
    <row r="103" spans="1:14" x14ac:dyDescent="0.2">
      <c r="A103" s="24" t="s">
        <v>22</v>
      </c>
      <c r="B103" s="45">
        <v>3296</v>
      </c>
      <c r="C103" s="2"/>
      <c r="D103" s="21" t="s">
        <v>46</v>
      </c>
      <c r="E103" s="21"/>
      <c r="F103" s="30"/>
      <c r="G103" s="30"/>
      <c r="H103" s="36"/>
      <c r="I103" s="5"/>
      <c r="J103" s="5"/>
      <c r="K103" s="5"/>
      <c r="L103" s="5"/>
      <c r="M103" s="61"/>
      <c r="N103" s="61"/>
    </row>
    <row r="104" spans="1:14" x14ac:dyDescent="0.2">
      <c r="A104" s="128" t="s">
        <v>30</v>
      </c>
      <c r="B104" s="45">
        <v>3299</v>
      </c>
      <c r="C104" s="2"/>
      <c r="D104" s="21" t="s">
        <v>20</v>
      </c>
      <c r="E104" s="21"/>
      <c r="F104" s="31">
        <f>SUM(F105:F108)</f>
        <v>15200</v>
      </c>
      <c r="G104" s="31">
        <f>4000/1.25</f>
        <v>3200</v>
      </c>
      <c r="H104" s="36"/>
      <c r="I104" s="5"/>
      <c r="J104" s="5"/>
      <c r="K104" s="5"/>
      <c r="L104" s="5"/>
      <c r="M104" s="123"/>
      <c r="N104" s="123"/>
    </row>
    <row r="105" spans="1:14" x14ac:dyDescent="0.2">
      <c r="A105" s="129"/>
      <c r="B105" s="130"/>
      <c r="C105" s="26"/>
      <c r="D105" s="3" t="s">
        <v>131</v>
      </c>
      <c r="E105" s="3"/>
      <c r="F105" s="30">
        <v>800</v>
      </c>
      <c r="G105" s="30"/>
      <c r="H105" s="36" t="s">
        <v>73</v>
      </c>
      <c r="I105" s="5"/>
      <c r="J105" s="5"/>
      <c r="K105" s="5"/>
      <c r="L105" s="5"/>
      <c r="M105" s="61"/>
      <c r="N105" s="61"/>
    </row>
    <row r="106" spans="1:14" x14ac:dyDescent="0.2">
      <c r="A106" s="129"/>
      <c r="B106" s="131"/>
      <c r="C106" s="33"/>
      <c r="D106" s="3" t="s">
        <v>132</v>
      </c>
      <c r="E106" s="3"/>
      <c r="F106" s="30">
        <v>12300</v>
      </c>
      <c r="G106" s="30"/>
      <c r="H106" s="36" t="s">
        <v>73</v>
      </c>
      <c r="I106" s="5"/>
      <c r="J106" s="5"/>
      <c r="K106" s="5"/>
      <c r="L106" s="5"/>
      <c r="M106" s="61"/>
      <c r="N106" s="61"/>
    </row>
    <row r="107" spans="1:14" x14ac:dyDescent="0.2">
      <c r="A107" s="129"/>
      <c r="B107" s="131"/>
      <c r="C107" s="33"/>
      <c r="D107" s="3" t="s">
        <v>133</v>
      </c>
      <c r="E107" s="3"/>
      <c r="F107" s="30">
        <v>350</v>
      </c>
      <c r="G107" s="30"/>
      <c r="H107" s="36" t="s">
        <v>73</v>
      </c>
      <c r="I107" s="5"/>
      <c r="J107" s="5"/>
      <c r="K107" s="5"/>
      <c r="L107" s="5"/>
      <c r="M107" s="61"/>
      <c r="N107" s="61"/>
    </row>
    <row r="108" spans="1:14" x14ac:dyDescent="0.2">
      <c r="A108" s="129"/>
      <c r="B108" s="131"/>
      <c r="C108" s="33"/>
      <c r="D108" s="3" t="s">
        <v>134</v>
      </c>
      <c r="E108" s="3"/>
      <c r="F108" s="30">
        <v>1750</v>
      </c>
      <c r="G108" s="30"/>
      <c r="H108" s="36" t="s">
        <v>73</v>
      </c>
      <c r="I108" s="5"/>
      <c r="J108" s="5"/>
      <c r="K108" s="5"/>
      <c r="L108" s="5"/>
      <c r="M108" s="61"/>
      <c r="N108" s="61"/>
    </row>
    <row r="109" spans="1:14" x14ac:dyDescent="0.2">
      <c r="A109" s="128" t="s">
        <v>33</v>
      </c>
      <c r="B109" s="45">
        <v>3431</v>
      </c>
      <c r="C109" s="2"/>
      <c r="D109" s="21" t="s">
        <v>29</v>
      </c>
      <c r="E109" s="21"/>
      <c r="F109" s="31">
        <f>SUM(F110)</f>
        <v>8400</v>
      </c>
      <c r="G109" s="31">
        <f>6500+900</f>
        <v>7400</v>
      </c>
      <c r="H109" s="36" t="s">
        <v>73</v>
      </c>
      <c r="I109" s="5"/>
      <c r="J109" s="5"/>
      <c r="K109" s="5"/>
      <c r="L109" s="5"/>
      <c r="M109" s="123"/>
      <c r="N109" s="123"/>
    </row>
    <row r="110" spans="1:14" x14ac:dyDescent="0.2">
      <c r="A110" s="132"/>
      <c r="B110" s="45"/>
      <c r="C110" s="1"/>
      <c r="D110" s="3" t="s">
        <v>76</v>
      </c>
      <c r="E110" s="3"/>
      <c r="F110" s="30">
        <v>8400</v>
      </c>
      <c r="G110" s="30"/>
      <c r="H110" s="36" t="s">
        <v>73</v>
      </c>
      <c r="I110" s="5"/>
      <c r="J110" s="5"/>
      <c r="K110" s="5"/>
      <c r="L110" s="5"/>
      <c r="M110" s="61"/>
      <c r="N110" s="61"/>
    </row>
    <row r="111" spans="1:14" x14ac:dyDescent="0.2">
      <c r="A111" s="66" t="s">
        <v>34</v>
      </c>
      <c r="B111" s="54">
        <v>3224</v>
      </c>
      <c r="C111" s="2"/>
      <c r="D111" s="21" t="s">
        <v>156</v>
      </c>
      <c r="E111" s="3"/>
      <c r="F111" s="31">
        <v>16800</v>
      </c>
      <c r="G111" s="31">
        <f>20560.56/1.25+10000/1.25</f>
        <v>24448.448</v>
      </c>
      <c r="H111" s="36" t="s">
        <v>73</v>
      </c>
      <c r="I111" s="5"/>
      <c r="J111" s="5"/>
      <c r="K111" s="5"/>
      <c r="L111" s="5"/>
      <c r="M111" s="61"/>
      <c r="N111" s="61"/>
    </row>
    <row r="112" spans="1:14" x14ac:dyDescent="0.2">
      <c r="A112" s="24" t="s">
        <v>35</v>
      </c>
      <c r="B112" s="45">
        <v>4212</v>
      </c>
      <c r="C112" s="2"/>
      <c r="D112" s="21" t="s">
        <v>43</v>
      </c>
      <c r="E112" s="21"/>
      <c r="F112" s="31">
        <v>0</v>
      </c>
      <c r="G112" s="30"/>
      <c r="H112" s="36"/>
      <c r="I112" s="5"/>
      <c r="J112" s="5"/>
      <c r="K112" s="5"/>
      <c r="L112" s="5"/>
      <c r="M112" s="61"/>
      <c r="N112" s="61"/>
    </row>
    <row r="113" spans="1:14" x14ac:dyDescent="0.2">
      <c r="A113" s="24"/>
      <c r="B113" s="45">
        <v>42123</v>
      </c>
      <c r="C113" s="2"/>
      <c r="D113" s="3" t="s">
        <v>146</v>
      </c>
      <c r="E113" s="49"/>
      <c r="F113" s="50"/>
      <c r="G113" s="50"/>
      <c r="H113" s="36"/>
      <c r="I113" s="5"/>
      <c r="J113" s="5"/>
      <c r="K113" s="5"/>
      <c r="L113" s="5"/>
      <c r="M113" s="61"/>
      <c r="N113" s="61"/>
    </row>
    <row r="114" spans="1:14" x14ac:dyDescent="0.2">
      <c r="A114" s="24" t="s">
        <v>36</v>
      </c>
      <c r="B114" s="45">
        <v>4221</v>
      </c>
      <c r="C114" s="2"/>
      <c r="D114" s="21" t="s">
        <v>139</v>
      </c>
      <c r="E114" s="21"/>
      <c r="F114" s="31">
        <f>SUM(F115:F117)</f>
        <v>10400</v>
      </c>
      <c r="G114" s="31"/>
      <c r="H114" s="36"/>
      <c r="I114" s="5"/>
      <c r="J114" s="5"/>
      <c r="K114" s="5"/>
      <c r="L114" s="5"/>
      <c r="M114" s="123"/>
      <c r="N114" s="123"/>
    </row>
    <row r="115" spans="1:14" x14ac:dyDescent="0.2">
      <c r="A115" s="24"/>
      <c r="B115" s="45"/>
      <c r="C115" s="2"/>
      <c r="D115" s="3" t="s">
        <v>138</v>
      </c>
      <c r="E115" s="21"/>
      <c r="F115" s="30">
        <v>10400</v>
      </c>
      <c r="G115" s="31">
        <f>16015/1.25</f>
        <v>12812</v>
      </c>
      <c r="H115" s="36" t="s">
        <v>73</v>
      </c>
      <c r="I115" s="5"/>
      <c r="J115" s="5"/>
      <c r="K115" s="5"/>
      <c r="L115" s="5"/>
      <c r="M115" s="61"/>
      <c r="N115" s="61"/>
    </row>
    <row r="116" spans="1:14" x14ac:dyDescent="0.2">
      <c r="A116" s="24"/>
      <c r="B116" s="45"/>
      <c r="C116" s="2"/>
      <c r="D116" s="3" t="s">
        <v>140</v>
      </c>
      <c r="E116" s="21"/>
      <c r="F116" s="30">
        <v>0</v>
      </c>
      <c r="G116" s="30"/>
      <c r="H116" s="36" t="s">
        <v>145</v>
      </c>
      <c r="I116" s="5"/>
      <c r="J116" s="5"/>
      <c r="K116" s="5"/>
      <c r="L116" s="5"/>
      <c r="M116" s="61"/>
      <c r="N116" s="61"/>
    </row>
    <row r="117" spans="1:14" x14ac:dyDescent="0.2">
      <c r="A117" s="24"/>
      <c r="B117" s="45"/>
      <c r="C117" s="2"/>
      <c r="D117" s="3" t="s">
        <v>141</v>
      </c>
      <c r="E117" s="21"/>
      <c r="F117" s="30">
        <v>0</v>
      </c>
      <c r="G117" s="30"/>
      <c r="H117" s="36" t="s">
        <v>145</v>
      </c>
      <c r="I117" s="5"/>
      <c r="J117" s="5"/>
      <c r="K117" s="5"/>
      <c r="L117" s="5"/>
      <c r="M117" s="61"/>
      <c r="N117" s="61"/>
    </row>
    <row r="118" spans="1:14" x14ac:dyDescent="0.2">
      <c r="A118" s="24" t="s">
        <v>154</v>
      </c>
      <c r="B118" s="45">
        <v>4227</v>
      </c>
      <c r="C118" s="2"/>
      <c r="D118" s="21" t="s">
        <v>31</v>
      </c>
      <c r="E118" s="21"/>
      <c r="F118" s="31">
        <v>8000</v>
      </c>
      <c r="G118" s="31">
        <f>50000/1.25</f>
        <v>40000</v>
      </c>
      <c r="H118" s="36" t="s">
        <v>73</v>
      </c>
      <c r="I118" s="5"/>
      <c r="J118" s="5"/>
      <c r="K118" s="5"/>
      <c r="L118" s="5"/>
      <c r="M118" s="123"/>
      <c r="N118" s="123"/>
    </row>
    <row r="119" spans="1:14" x14ac:dyDescent="0.2">
      <c r="A119" s="24" t="s">
        <v>37</v>
      </c>
      <c r="B119" s="45">
        <v>4241</v>
      </c>
      <c r="C119" s="2"/>
      <c r="D119" s="21" t="s">
        <v>135</v>
      </c>
      <c r="E119" s="2"/>
      <c r="F119" s="31">
        <v>5840</v>
      </c>
      <c r="G119" s="31"/>
      <c r="H119" s="36" t="s">
        <v>73</v>
      </c>
      <c r="I119" s="5"/>
      <c r="J119" s="5"/>
      <c r="K119" s="5"/>
      <c r="L119" s="5"/>
      <c r="M119" s="123"/>
      <c r="N119" s="123"/>
    </row>
    <row r="120" spans="1:14" ht="22.5" x14ac:dyDescent="0.2">
      <c r="A120" s="24" t="s">
        <v>38</v>
      </c>
      <c r="B120" s="43" t="s">
        <v>136</v>
      </c>
      <c r="C120" s="2"/>
      <c r="D120" s="21" t="s">
        <v>137</v>
      </c>
      <c r="E120" s="2"/>
      <c r="F120" s="31">
        <v>224000</v>
      </c>
      <c r="G120" s="31"/>
      <c r="H120" s="106" t="s">
        <v>204</v>
      </c>
      <c r="I120" s="5"/>
      <c r="J120" s="5"/>
      <c r="K120" s="5"/>
      <c r="L120" s="5"/>
      <c r="M120" s="61"/>
      <c r="N120" s="61"/>
    </row>
    <row r="121" spans="1:14" x14ac:dyDescent="0.2">
      <c r="A121" s="24" t="s">
        <v>39</v>
      </c>
      <c r="B121" s="45">
        <v>4511</v>
      </c>
      <c r="C121" s="2"/>
      <c r="D121" s="21" t="s">
        <v>42</v>
      </c>
      <c r="E121" s="2"/>
      <c r="F121" s="30"/>
      <c r="G121" s="30"/>
      <c r="H121" s="36"/>
      <c r="I121" s="5"/>
      <c r="J121" s="5"/>
      <c r="K121" s="5"/>
      <c r="L121" s="5"/>
      <c r="M121" s="61"/>
      <c r="N121" s="61"/>
    </row>
    <row r="122" spans="1:14" x14ac:dyDescent="0.2">
      <c r="A122" s="1"/>
      <c r="B122" s="45"/>
      <c r="C122" s="4"/>
      <c r="D122" s="4"/>
      <c r="E122" s="4"/>
      <c r="F122" s="30"/>
      <c r="G122" s="30"/>
      <c r="H122" s="36"/>
      <c r="I122" s="5"/>
      <c r="J122" s="5"/>
      <c r="K122" s="5"/>
      <c r="L122" s="5"/>
      <c r="M122" s="123"/>
      <c r="N122" s="123"/>
    </row>
    <row r="123" spans="1:14" x14ac:dyDescent="0.2">
      <c r="A123" s="4"/>
      <c r="B123" s="45"/>
      <c r="C123" s="1"/>
      <c r="D123" s="2" t="s">
        <v>32</v>
      </c>
      <c r="E123" s="2"/>
      <c r="F123" s="31">
        <f>F15+F16+F17+F25+F47+F50+F54+F62+F63+F68+F69+F83+F89+F90+F93+F96+F98+F99+F100+F101+F102+F104+F109+F111+F112+F114+F118+F119+F120</f>
        <v>977070.79</v>
      </c>
      <c r="G123" s="31"/>
      <c r="H123" s="36"/>
      <c r="I123" s="5"/>
      <c r="J123" s="5"/>
      <c r="K123" s="5"/>
      <c r="L123" s="5"/>
      <c r="M123" s="123"/>
      <c r="N123" s="123"/>
    </row>
    <row r="124" spans="1:14" ht="12.75" hidden="1" customHeight="1" x14ac:dyDescent="0.2">
      <c r="A124" s="1"/>
      <c r="B124" s="48"/>
      <c r="C124" s="12"/>
      <c r="D124" s="13"/>
      <c r="E124" s="13"/>
      <c r="F124" s="17">
        <f>SUM(F27:F123)</f>
        <v>2270803.16</v>
      </c>
      <c r="G124" s="51"/>
      <c r="H124" s="37"/>
      <c r="I124" s="19"/>
      <c r="J124" s="19"/>
      <c r="K124" s="19"/>
      <c r="L124" s="14"/>
      <c r="M124" s="124"/>
      <c r="N124" s="125"/>
    </row>
    <row r="125" spans="1:14" x14ac:dyDescent="0.2">
      <c r="A125" s="16"/>
      <c r="D125" s="6"/>
      <c r="E125" s="6"/>
      <c r="L125" s="15"/>
      <c r="M125" s="123"/>
      <c r="N125" s="123"/>
    </row>
    <row r="126" spans="1:14" x14ac:dyDescent="0.2">
      <c r="A126" s="15"/>
      <c r="D126" s="6"/>
      <c r="E126" s="6"/>
      <c r="F126" s="126" t="s">
        <v>78</v>
      </c>
      <c r="G126" s="126"/>
      <c r="H126" s="126"/>
      <c r="I126" s="126"/>
      <c r="J126" s="126"/>
      <c r="K126" s="126"/>
      <c r="L126" s="127"/>
      <c r="M126" s="127"/>
      <c r="N126" s="127"/>
    </row>
    <row r="127" spans="1:14" x14ac:dyDescent="0.2">
      <c r="B127" s="122"/>
      <c r="C127" s="122"/>
      <c r="D127" s="122"/>
      <c r="E127" s="62"/>
      <c r="F127" s="126" t="s">
        <v>160</v>
      </c>
      <c r="G127" s="126"/>
      <c r="H127" s="126"/>
      <c r="I127" s="126"/>
      <c r="J127" s="126"/>
      <c r="K127" s="126"/>
      <c r="L127" s="127"/>
      <c r="M127" s="127"/>
      <c r="N127" s="127"/>
    </row>
    <row r="128" spans="1:14" x14ac:dyDescent="0.2">
      <c r="B128" s="122"/>
      <c r="C128" s="122"/>
      <c r="D128" s="122"/>
      <c r="E128" s="62"/>
    </row>
    <row r="129" spans="1:11" x14ac:dyDescent="0.2">
      <c r="D129" s="7"/>
      <c r="E129" s="7"/>
      <c r="F129" s="32"/>
      <c r="G129" s="32"/>
      <c r="H129" s="38"/>
      <c r="I129" s="6"/>
      <c r="J129" s="6"/>
      <c r="K129" s="6"/>
    </row>
    <row r="130" spans="1:11" x14ac:dyDescent="0.2">
      <c r="A130" s="6"/>
      <c r="F130" s="69"/>
      <c r="G130" s="69"/>
      <c r="H130" s="38"/>
      <c r="I130" s="6"/>
      <c r="J130" s="6"/>
      <c r="K130" s="6"/>
    </row>
    <row r="131" spans="1:11" hidden="1" x14ac:dyDescent="0.2"/>
    <row r="132" spans="1:11" hidden="1" x14ac:dyDescent="0.2"/>
    <row r="147" hidden="1" x14ac:dyDescent="0.2"/>
    <row r="148" hidden="1" x14ac:dyDescent="0.2"/>
    <row r="149" hidden="1" x14ac:dyDescent="0.2"/>
  </sheetData>
  <mergeCells count="87">
    <mergeCell ref="B18:B24"/>
    <mergeCell ref="A17:A24"/>
    <mergeCell ref="M38:N38"/>
    <mergeCell ref="B8:L8"/>
    <mergeCell ref="A1:L1"/>
    <mergeCell ref="A2:L2"/>
    <mergeCell ref="A3:L3"/>
    <mergeCell ref="A5:D5"/>
    <mergeCell ref="A6:N7"/>
    <mergeCell ref="M13:N13"/>
    <mergeCell ref="M17:N17"/>
    <mergeCell ref="H11:H12"/>
    <mergeCell ref="I11:I12"/>
    <mergeCell ref="J11:J12"/>
    <mergeCell ref="K11:K12"/>
    <mergeCell ref="L11:L12"/>
    <mergeCell ref="M11:N12"/>
    <mergeCell ref="A11:A12"/>
    <mergeCell ref="B11:B12"/>
    <mergeCell ref="C11:C12"/>
    <mergeCell ref="D11:D12"/>
    <mergeCell ref="E11:E12"/>
    <mergeCell ref="F11:F12"/>
    <mergeCell ref="A25:A49"/>
    <mergeCell ref="M27:N27"/>
    <mergeCell ref="M28:N28"/>
    <mergeCell ref="M30:N30"/>
    <mergeCell ref="M31:N31"/>
    <mergeCell ref="M32:N32"/>
    <mergeCell ref="M34:N34"/>
    <mergeCell ref="M35:N35"/>
    <mergeCell ref="M36:N36"/>
    <mergeCell ref="B26:B46"/>
    <mergeCell ref="B47:B50"/>
    <mergeCell ref="M54:N54"/>
    <mergeCell ref="M37:N37"/>
    <mergeCell ref="M39:N39"/>
    <mergeCell ref="M40:N40"/>
    <mergeCell ref="M41:N41"/>
    <mergeCell ref="M42:N42"/>
    <mergeCell ref="M44:N44"/>
    <mergeCell ref="M45:N45"/>
    <mergeCell ref="M46:N46"/>
    <mergeCell ref="M47:N47"/>
    <mergeCell ref="M49:N49"/>
    <mergeCell ref="M51:N51"/>
    <mergeCell ref="M55:N55"/>
    <mergeCell ref="M56:N56"/>
    <mergeCell ref="M62:N62"/>
    <mergeCell ref="A63:A67"/>
    <mergeCell ref="M63:N63"/>
    <mergeCell ref="B64:B67"/>
    <mergeCell ref="A69:A82"/>
    <mergeCell ref="M69:N69"/>
    <mergeCell ref="B74:B82"/>
    <mergeCell ref="A83:A88"/>
    <mergeCell ref="M83:N83"/>
    <mergeCell ref="B84:B88"/>
    <mergeCell ref="M84:N84"/>
    <mergeCell ref="A90:A92"/>
    <mergeCell ref="M90:N90"/>
    <mergeCell ref="B91:B92"/>
    <mergeCell ref="A93:A95"/>
    <mergeCell ref="M93:N93"/>
    <mergeCell ref="B94:B95"/>
    <mergeCell ref="M94:N94"/>
    <mergeCell ref="M95:N95"/>
    <mergeCell ref="M122:N122"/>
    <mergeCell ref="A96:A97"/>
    <mergeCell ref="M96:N96"/>
    <mergeCell ref="M98:N98"/>
    <mergeCell ref="M101:N101"/>
    <mergeCell ref="A104:A108"/>
    <mergeCell ref="M104:N104"/>
    <mergeCell ref="B105:B108"/>
    <mergeCell ref="A109:A110"/>
    <mergeCell ref="M109:N109"/>
    <mergeCell ref="M114:N114"/>
    <mergeCell ref="M118:N118"/>
    <mergeCell ref="M119:N119"/>
    <mergeCell ref="B128:D128"/>
    <mergeCell ref="M123:N123"/>
    <mergeCell ref="M124:N124"/>
    <mergeCell ref="M125:N125"/>
    <mergeCell ref="F126:N126"/>
    <mergeCell ref="B127:D127"/>
    <mergeCell ref="F127:N127"/>
  </mergeCells>
  <pageMargins left="0.7" right="0.7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7"/>
  <sheetViews>
    <sheetView view="pageBreakPreview" topLeftCell="A103" zoomScaleNormal="100" zoomScaleSheetLayoutView="100" workbookViewId="0">
      <selection activeCell="H117" sqref="H117"/>
    </sheetView>
  </sheetViews>
  <sheetFormatPr defaultRowHeight="12.75" x14ac:dyDescent="0.2"/>
  <cols>
    <col min="1" max="1" width="3.5703125" customWidth="1"/>
    <col min="2" max="2" width="7.5703125" style="44" customWidth="1"/>
    <col min="3" max="3" width="8.140625" customWidth="1"/>
    <col min="4" max="4" width="48.85546875" customWidth="1"/>
    <col min="5" max="5" width="11" style="44" customWidth="1"/>
    <col min="6" max="6" width="13.85546875" customWidth="1"/>
    <col min="7" max="7" width="14.5703125" hidden="1" customWidth="1"/>
    <col min="8" max="8" width="11.28515625" customWidth="1"/>
    <col min="9" max="9" width="13.140625" style="34" customWidth="1"/>
    <col min="10" max="10" width="8.5703125" customWidth="1"/>
    <col min="11" max="11" width="11.7109375" customWidth="1"/>
    <col min="12" max="12" width="9.28515625" customWidth="1"/>
    <col min="13" max="13" width="7.5703125" customWidth="1"/>
    <col min="14" max="14" width="0.42578125" hidden="1" customWidth="1"/>
    <col min="15" max="15" width="1.5703125" hidden="1" customWidth="1"/>
    <col min="16" max="16" width="11.85546875" customWidth="1"/>
    <col min="18" max="19" width="10.140625" bestFit="1" customWidth="1"/>
  </cols>
  <sheetData>
    <row r="1" spans="1:16" ht="20.25" x14ac:dyDescent="0.3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6" x14ac:dyDescent="0.2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6" x14ac:dyDescent="0.2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6" x14ac:dyDescent="0.2">
      <c r="A4" s="8" t="s">
        <v>77</v>
      </c>
      <c r="C4" s="8"/>
      <c r="D4" s="8"/>
      <c r="E4" s="92"/>
    </row>
    <row r="5" spans="1:16" x14ac:dyDescent="0.2">
      <c r="A5" s="158" t="s">
        <v>72</v>
      </c>
      <c r="B5" s="122"/>
      <c r="C5" s="122"/>
      <c r="D5" s="158"/>
      <c r="E5" s="93"/>
    </row>
    <row r="6" spans="1:16" x14ac:dyDescent="0.2">
      <c r="A6" s="159" t="s">
        <v>174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</row>
    <row r="7" spans="1:16" ht="17.25" customHeight="1" x14ac:dyDescent="0.2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</row>
    <row r="8" spans="1:16" ht="18" customHeight="1" x14ac:dyDescent="0.25">
      <c r="A8" s="6"/>
      <c r="B8" s="155" t="s">
        <v>177</v>
      </c>
      <c r="C8" s="155"/>
      <c r="D8" s="122"/>
      <c r="E8" s="122"/>
      <c r="F8" s="122"/>
      <c r="G8" s="122"/>
      <c r="H8" s="122"/>
      <c r="I8" s="122"/>
      <c r="J8" s="122"/>
      <c r="K8" s="122"/>
      <c r="L8" s="122"/>
      <c r="M8" s="122"/>
    </row>
    <row r="9" spans="1:16" ht="1.5" hidden="1" customHeight="1" x14ac:dyDescent="0.2"/>
    <row r="10" spans="1:16" ht="1.5" hidden="1" customHeight="1" x14ac:dyDescent="0.2"/>
    <row r="11" spans="1:16" ht="12.75" customHeight="1" x14ac:dyDescent="0.2">
      <c r="A11" s="148" t="s">
        <v>23</v>
      </c>
      <c r="B11" s="148" t="s">
        <v>61</v>
      </c>
      <c r="C11" s="150" t="s">
        <v>68</v>
      </c>
      <c r="D11" s="152" t="s">
        <v>0</v>
      </c>
      <c r="E11" s="164" t="s">
        <v>80</v>
      </c>
      <c r="F11" s="148" t="s">
        <v>60</v>
      </c>
      <c r="G11" s="77"/>
      <c r="H11" s="148" t="s">
        <v>180</v>
      </c>
      <c r="I11" s="148" t="s">
        <v>47</v>
      </c>
      <c r="J11" s="148" t="s">
        <v>69</v>
      </c>
      <c r="K11" s="150" t="s">
        <v>48</v>
      </c>
      <c r="L11" s="161" t="s">
        <v>49</v>
      </c>
      <c r="M11" s="162" t="s">
        <v>50</v>
      </c>
      <c r="N11" s="145"/>
      <c r="O11" s="146"/>
      <c r="P11" s="148" t="s">
        <v>183</v>
      </c>
    </row>
    <row r="12" spans="1:16" ht="54" customHeight="1" x14ac:dyDescent="0.2">
      <c r="A12" s="149"/>
      <c r="B12" s="149"/>
      <c r="C12" s="151"/>
      <c r="D12" s="153"/>
      <c r="E12" s="165"/>
      <c r="F12" s="154"/>
      <c r="G12" s="78" t="s">
        <v>147</v>
      </c>
      <c r="H12" s="154" t="s">
        <v>165</v>
      </c>
      <c r="I12" s="154"/>
      <c r="J12" s="154"/>
      <c r="K12" s="151"/>
      <c r="L12" s="151"/>
      <c r="M12" s="163"/>
      <c r="N12" s="147"/>
      <c r="O12" s="146"/>
      <c r="P12" s="154" t="s">
        <v>165</v>
      </c>
    </row>
    <row r="13" spans="1:16" x14ac:dyDescent="0.2">
      <c r="A13" s="9" t="s">
        <v>1</v>
      </c>
      <c r="B13" s="9" t="s">
        <v>2</v>
      </c>
      <c r="C13" s="9" t="s">
        <v>3</v>
      </c>
      <c r="D13" s="9" t="s">
        <v>4</v>
      </c>
      <c r="E13" s="9"/>
      <c r="F13" s="9" t="s">
        <v>9</v>
      </c>
      <c r="G13" s="9"/>
      <c r="H13" s="9"/>
      <c r="I13" s="35" t="s">
        <v>12</v>
      </c>
      <c r="J13" s="9" t="s">
        <v>14</v>
      </c>
      <c r="K13" s="9" t="s">
        <v>15</v>
      </c>
      <c r="L13" s="9" t="s">
        <v>17</v>
      </c>
      <c r="M13" s="9" t="s">
        <v>18</v>
      </c>
      <c r="N13" s="139"/>
      <c r="O13" s="139"/>
      <c r="P13" s="9"/>
    </row>
    <row r="14" spans="1:16" x14ac:dyDescent="0.2">
      <c r="A14" s="86">
        <v>1</v>
      </c>
      <c r="B14" s="9"/>
      <c r="C14" s="9"/>
      <c r="D14" s="21" t="s">
        <v>71</v>
      </c>
      <c r="E14" s="54"/>
      <c r="F14" s="9"/>
      <c r="G14" s="9"/>
      <c r="H14" s="9"/>
      <c r="I14" s="35"/>
      <c r="J14" s="9"/>
      <c r="K14" s="9"/>
      <c r="L14" s="9"/>
      <c r="M14" s="9"/>
      <c r="N14" s="73"/>
      <c r="O14" s="73"/>
      <c r="P14" s="9"/>
    </row>
    <row r="15" spans="1:16" x14ac:dyDescent="0.2">
      <c r="A15" s="86">
        <v>2</v>
      </c>
      <c r="B15" s="45">
        <v>3211</v>
      </c>
      <c r="C15" s="9"/>
      <c r="D15" s="21" t="s">
        <v>79</v>
      </c>
      <c r="E15" s="54"/>
      <c r="F15" s="31">
        <v>10000</v>
      </c>
      <c r="G15" s="30"/>
      <c r="H15" s="82"/>
      <c r="I15" s="35" t="s">
        <v>73</v>
      </c>
      <c r="J15" s="9"/>
      <c r="K15" s="9"/>
      <c r="L15" s="9"/>
      <c r="M15" s="9"/>
      <c r="N15" s="73"/>
      <c r="O15" s="73"/>
      <c r="P15" s="82">
        <f>F15-H15</f>
        <v>10000</v>
      </c>
    </row>
    <row r="16" spans="1:16" x14ac:dyDescent="0.2">
      <c r="A16" s="86">
        <v>3</v>
      </c>
      <c r="B16" s="45">
        <v>3213</v>
      </c>
      <c r="C16" s="9"/>
      <c r="D16" s="21" t="s">
        <v>70</v>
      </c>
      <c r="E16" s="54"/>
      <c r="F16" s="31">
        <v>8320</v>
      </c>
      <c r="G16" s="31">
        <f>15000/1.25</f>
        <v>12000</v>
      </c>
      <c r="H16" s="82"/>
      <c r="I16" s="35" t="s">
        <v>73</v>
      </c>
      <c r="J16" s="9"/>
      <c r="K16" s="9"/>
      <c r="L16" s="9"/>
      <c r="M16" s="9"/>
      <c r="N16" s="73"/>
      <c r="O16" s="73"/>
      <c r="P16" s="82">
        <f t="shared" ref="P16:P82" si="0">F16-H16</f>
        <v>8320</v>
      </c>
    </row>
    <row r="17" spans="1:16" x14ac:dyDescent="0.2">
      <c r="A17" s="166">
        <v>4</v>
      </c>
      <c r="B17" s="45">
        <v>3221</v>
      </c>
      <c r="C17" s="9"/>
      <c r="D17" s="21" t="s">
        <v>24</v>
      </c>
      <c r="E17" s="54"/>
      <c r="F17" s="31">
        <f>SUM(F19:F24)</f>
        <v>77632.800000000003</v>
      </c>
      <c r="G17" s="31" t="e">
        <f>SUM(#REF!)</f>
        <v>#REF!</v>
      </c>
      <c r="H17" s="31"/>
      <c r="I17" s="36"/>
      <c r="J17" s="5"/>
      <c r="K17" s="5"/>
      <c r="L17" s="5"/>
      <c r="M17" s="5"/>
      <c r="N17" s="160"/>
      <c r="O17" s="160"/>
      <c r="P17" s="82">
        <f t="shared" si="0"/>
        <v>77632.800000000003</v>
      </c>
    </row>
    <row r="18" spans="1:16" x14ac:dyDescent="0.2">
      <c r="A18" s="167"/>
      <c r="B18" s="141"/>
      <c r="C18" s="26"/>
      <c r="D18" s="105" t="s">
        <v>184</v>
      </c>
      <c r="E18" s="3"/>
      <c r="F18" s="30"/>
      <c r="G18" s="30"/>
      <c r="H18" s="36"/>
      <c r="I18" s="5"/>
      <c r="J18" s="5"/>
      <c r="K18" s="5"/>
      <c r="L18" s="5"/>
      <c r="M18" s="5"/>
      <c r="N18" s="103"/>
      <c r="P18" s="50"/>
    </row>
    <row r="19" spans="1:16" x14ac:dyDescent="0.2">
      <c r="A19" s="167"/>
      <c r="B19" s="142"/>
      <c r="C19" s="33"/>
      <c r="D19" s="3" t="s">
        <v>81</v>
      </c>
      <c r="E19" s="45" t="s">
        <v>185</v>
      </c>
      <c r="F19" s="30">
        <v>4000</v>
      </c>
      <c r="G19" s="30"/>
      <c r="H19" s="36"/>
      <c r="I19" s="36" t="s">
        <v>73</v>
      </c>
      <c r="J19" s="5"/>
      <c r="K19" s="5"/>
      <c r="L19" s="5"/>
      <c r="M19" s="5"/>
      <c r="N19" s="103"/>
      <c r="P19" s="50">
        <f t="shared" si="0"/>
        <v>4000</v>
      </c>
    </row>
    <row r="20" spans="1:16" x14ac:dyDescent="0.2">
      <c r="A20" s="167"/>
      <c r="B20" s="142"/>
      <c r="C20" s="33"/>
      <c r="D20" s="3" t="s">
        <v>82</v>
      </c>
      <c r="E20" s="45" t="s">
        <v>186</v>
      </c>
      <c r="F20" s="30">
        <v>12000</v>
      </c>
      <c r="G20" s="30"/>
      <c r="H20" s="36"/>
      <c r="I20" s="36" t="s">
        <v>73</v>
      </c>
      <c r="J20" s="5"/>
      <c r="K20" s="5"/>
      <c r="L20" s="5"/>
      <c r="M20" s="5"/>
      <c r="N20" s="103"/>
      <c r="P20" s="50">
        <f t="shared" si="0"/>
        <v>12000</v>
      </c>
    </row>
    <row r="21" spans="1:16" x14ac:dyDescent="0.2">
      <c r="A21" s="167"/>
      <c r="B21" s="142"/>
      <c r="C21" s="33"/>
      <c r="D21" s="3" t="s">
        <v>187</v>
      </c>
      <c r="E21" s="45" t="s">
        <v>188</v>
      </c>
      <c r="F21" s="30">
        <v>15000</v>
      </c>
      <c r="G21" s="30"/>
      <c r="H21" s="36"/>
      <c r="I21" s="36" t="s">
        <v>73</v>
      </c>
      <c r="J21" s="5"/>
      <c r="K21" s="5"/>
      <c r="L21" s="5"/>
      <c r="M21" s="5"/>
      <c r="N21" s="103"/>
      <c r="P21" s="50">
        <f t="shared" si="0"/>
        <v>15000</v>
      </c>
    </row>
    <row r="22" spans="1:16" x14ac:dyDescent="0.2">
      <c r="A22" s="167"/>
      <c r="B22" s="142"/>
      <c r="C22" s="33"/>
      <c r="D22" s="3" t="s">
        <v>189</v>
      </c>
      <c r="E22" s="45" t="s">
        <v>190</v>
      </c>
      <c r="F22" s="30">
        <v>17000</v>
      </c>
      <c r="G22" s="30"/>
      <c r="H22" s="36"/>
      <c r="I22" s="36" t="s">
        <v>73</v>
      </c>
      <c r="J22" s="5"/>
      <c r="K22" s="5"/>
      <c r="L22" s="5"/>
      <c r="M22" s="5"/>
      <c r="N22" s="103"/>
      <c r="P22" s="50">
        <f t="shared" si="0"/>
        <v>17000</v>
      </c>
    </row>
    <row r="23" spans="1:16" x14ac:dyDescent="0.2">
      <c r="A23" s="167"/>
      <c r="B23" s="142"/>
      <c r="C23" s="33"/>
      <c r="D23" s="3" t="s">
        <v>191</v>
      </c>
      <c r="E23" s="45" t="s">
        <v>192</v>
      </c>
      <c r="F23" s="30">
        <v>10000</v>
      </c>
      <c r="G23" s="30"/>
      <c r="H23" s="36"/>
      <c r="I23" s="36" t="s">
        <v>73</v>
      </c>
      <c r="J23" s="5"/>
      <c r="K23" s="5"/>
      <c r="L23" s="5"/>
      <c r="M23" s="5"/>
      <c r="N23" s="103"/>
      <c r="P23" s="50">
        <f t="shared" si="0"/>
        <v>10000</v>
      </c>
    </row>
    <row r="24" spans="1:16" x14ac:dyDescent="0.2">
      <c r="A24" s="167"/>
      <c r="B24" s="142"/>
      <c r="C24" s="33"/>
      <c r="D24" s="3" t="s">
        <v>83</v>
      </c>
      <c r="E24" s="45" t="s">
        <v>193</v>
      </c>
      <c r="F24" s="30">
        <v>19632.8</v>
      </c>
      <c r="G24" s="30"/>
      <c r="H24" s="36"/>
      <c r="I24" s="36" t="s">
        <v>73</v>
      </c>
      <c r="J24" s="5"/>
      <c r="K24" s="5"/>
      <c r="L24" s="5"/>
      <c r="M24" s="5"/>
      <c r="N24" s="103"/>
      <c r="P24" s="50">
        <f t="shared" si="0"/>
        <v>19632.8</v>
      </c>
    </row>
    <row r="25" spans="1:16" x14ac:dyDescent="0.2">
      <c r="A25" s="166">
        <v>5</v>
      </c>
      <c r="B25" s="76">
        <v>3222</v>
      </c>
      <c r="C25" s="9"/>
      <c r="D25" s="21" t="s">
        <v>62</v>
      </c>
      <c r="E25" s="54"/>
      <c r="F25" s="31">
        <f>F26+F33+F34+F35+F36+F37+F39+F45+F38</f>
        <v>298000</v>
      </c>
      <c r="G25" s="31">
        <f>395759/1.25</f>
        <v>316607.2</v>
      </c>
      <c r="H25" s="31"/>
      <c r="I25" s="36"/>
      <c r="J25" s="5"/>
      <c r="K25" s="5"/>
      <c r="L25" s="5"/>
      <c r="M25" s="5"/>
      <c r="N25" s="79"/>
      <c r="O25" s="79"/>
      <c r="P25" s="82">
        <f t="shared" si="0"/>
        <v>298000</v>
      </c>
    </row>
    <row r="26" spans="1:16" x14ac:dyDescent="0.2">
      <c r="A26" s="167"/>
      <c r="B26" s="130"/>
      <c r="C26" s="28"/>
      <c r="D26" s="21" t="s">
        <v>84</v>
      </c>
      <c r="E26" s="45"/>
      <c r="F26" s="52">
        <f>SUM(F27:F32)</f>
        <v>100000</v>
      </c>
      <c r="G26" s="31"/>
      <c r="H26" s="31"/>
      <c r="I26" s="36"/>
      <c r="J26" s="5"/>
      <c r="K26" s="5"/>
      <c r="L26" s="5"/>
      <c r="M26" s="5"/>
      <c r="N26" s="79"/>
      <c r="O26" s="79"/>
      <c r="P26" s="82">
        <f t="shared" si="0"/>
        <v>100000</v>
      </c>
    </row>
    <row r="27" spans="1:16" x14ac:dyDescent="0.2">
      <c r="A27" s="167"/>
      <c r="B27" s="131"/>
      <c r="C27" s="33"/>
      <c r="D27" s="3" t="s">
        <v>86</v>
      </c>
      <c r="E27" s="45" t="s">
        <v>85</v>
      </c>
      <c r="F27" s="30">
        <v>13000</v>
      </c>
      <c r="G27" s="30"/>
      <c r="H27" s="30"/>
      <c r="I27" s="36" t="s">
        <v>73</v>
      </c>
      <c r="J27" s="5"/>
      <c r="K27" s="5"/>
      <c r="L27" s="5"/>
      <c r="M27" s="5"/>
      <c r="N27" s="136"/>
      <c r="O27" s="136"/>
      <c r="P27" s="50">
        <f t="shared" si="0"/>
        <v>13000</v>
      </c>
    </row>
    <row r="28" spans="1:16" x14ac:dyDescent="0.2">
      <c r="A28" s="167"/>
      <c r="B28" s="131"/>
      <c r="C28" s="33"/>
      <c r="D28" s="3" t="s">
        <v>87</v>
      </c>
      <c r="E28" s="45" t="s">
        <v>90</v>
      </c>
      <c r="F28" s="30">
        <v>19000</v>
      </c>
      <c r="G28" s="30"/>
      <c r="H28" s="30"/>
      <c r="I28" s="36" t="s">
        <v>73</v>
      </c>
      <c r="J28" s="5"/>
      <c r="K28" s="5"/>
      <c r="L28" s="5"/>
      <c r="M28" s="5"/>
      <c r="N28" s="136"/>
      <c r="O28" s="136"/>
      <c r="P28" s="50">
        <f t="shared" si="0"/>
        <v>19000</v>
      </c>
    </row>
    <row r="29" spans="1:16" x14ac:dyDescent="0.2">
      <c r="A29" s="167"/>
      <c r="B29" s="131"/>
      <c r="C29" s="33"/>
      <c r="D29" s="3" t="s">
        <v>98</v>
      </c>
      <c r="E29" s="45" t="s">
        <v>194</v>
      </c>
      <c r="F29" s="30">
        <v>18000</v>
      </c>
      <c r="G29" s="30"/>
      <c r="H29" s="30"/>
      <c r="I29" s="36" t="s">
        <v>73</v>
      </c>
      <c r="J29" s="5"/>
      <c r="K29" s="5"/>
      <c r="L29" s="5"/>
      <c r="M29" s="5"/>
      <c r="N29" s="79"/>
      <c r="O29" s="79"/>
      <c r="P29" s="50">
        <f t="shared" si="0"/>
        <v>18000</v>
      </c>
    </row>
    <row r="30" spans="1:16" x14ac:dyDescent="0.2">
      <c r="A30" s="167"/>
      <c r="B30" s="131"/>
      <c r="C30" s="33"/>
      <c r="D30" s="3" t="s">
        <v>88</v>
      </c>
      <c r="E30" s="45" t="s">
        <v>91</v>
      </c>
      <c r="F30" s="30">
        <v>17000</v>
      </c>
      <c r="G30" s="30"/>
      <c r="H30" s="30"/>
      <c r="I30" s="36" t="s">
        <v>73</v>
      </c>
      <c r="J30" s="5"/>
      <c r="K30" s="5"/>
      <c r="L30" s="5"/>
      <c r="M30" s="5"/>
      <c r="N30" s="136"/>
      <c r="O30" s="136"/>
      <c r="P30" s="50">
        <f t="shared" si="0"/>
        <v>17000</v>
      </c>
    </row>
    <row r="31" spans="1:16" x14ac:dyDescent="0.2">
      <c r="A31" s="167"/>
      <c r="B31" s="131"/>
      <c r="C31" s="33"/>
      <c r="D31" s="3" t="s">
        <v>158</v>
      </c>
      <c r="E31" s="45" t="s">
        <v>91</v>
      </c>
      <c r="F31" s="30">
        <v>15000</v>
      </c>
      <c r="G31" s="30"/>
      <c r="H31" s="30"/>
      <c r="I31" s="36" t="s">
        <v>73</v>
      </c>
      <c r="J31" s="5"/>
      <c r="K31" s="5"/>
      <c r="L31" s="5"/>
      <c r="M31" s="5"/>
      <c r="N31" s="138"/>
      <c r="O31" s="139"/>
      <c r="P31" s="50">
        <f t="shared" si="0"/>
        <v>15000</v>
      </c>
    </row>
    <row r="32" spans="1:16" x14ac:dyDescent="0.2">
      <c r="A32" s="167"/>
      <c r="B32" s="131"/>
      <c r="C32" s="33"/>
      <c r="D32" s="3" t="s">
        <v>89</v>
      </c>
      <c r="E32" s="45" t="s">
        <v>195</v>
      </c>
      <c r="F32" s="30">
        <v>18000</v>
      </c>
      <c r="G32" s="30"/>
      <c r="H32" s="30"/>
      <c r="I32" s="36" t="s">
        <v>73</v>
      </c>
      <c r="J32" s="5"/>
      <c r="K32" s="5"/>
      <c r="L32" s="5"/>
      <c r="M32" s="5"/>
      <c r="N32" s="136"/>
      <c r="O32" s="136"/>
      <c r="P32" s="50">
        <f t="shared" si="0"/>
        <v>18000</v>
      </c>
    </row>
    <row r="33" spans="1:16" x14ac:dyDescent="0.2">
      <c r="A33" s="167"/>
      <c r="B33" s="131"/>
      <c r="C33" s="33"/>
      <c r="D33" s="21" t="s">
        <v>96</v>
      </c>
      <c r="E33" s="45" t="s">
        <v>196</v>
      </c>
      <c r="F33" s="52">
        <v>19000</v>
      </c>
      <c r="G33" s="31"/>
      <c r="H33" s="31"/>
      <c r="I33" s="36" t="s">
        <v>73</v>
      </c>
      <c r="J33" s="5"/>
      <c r="K33" s="5"/>
      <c r="L33" s="5"/>
      <c r="M33" s="5"/>
      <c r="N33" s="79"/>
      <c r="O33" s="79"/>
      <c r="P33" s="82">
        <f t="shared" si="0"/>
        <v>19000</v>
      </c>
    </row>
    <row r="34" spans="1:16" x14ac:dyDescent="0.2">
      <c r="A34" s="167"/>
      <c r="B34" s="131"/>
      <c r="C34" s="33"/>
      <c r="D34" s="21" t="s">
        <v>92</v>
      </c>
      <c r="E34" s="45" t="s">
        <v>197</v>
      </c>
      <c r="F34" s="52">
        <v>18000</v>
      </c>
      <c r="G34" s="31"/>
      <c r="H34" s="31"/>
      <c r="I34" s="36" t="s">
        <v>73</v>
      </c>
      <c r="J34" s="5"/>
      <c r="K34" s="5"/>
      <c r="L34" s="5"/>
      <c r="M34" s="5"/>
      <c r="N34" s="136"/>
      <c r="O34" s="136"/>
      <c r="P34" s="82">
        <f t="shared" si="0"/>
        <v>18000</v>
      </c>
    </row>
    <row r="35" spans="1:16" x14ac:dyDescent="0.2">
      <c r="A35" s="167"/>
      <c r="B35" s="131"/>
      <c r="C35" s="33"/>
      <c r="D35" s="21" t="s">
        <v>93</v>
      </c>
      <c r="E35" s="45" t="s">
        <v>198</v>
      </c>
      <c r="F35" s="52">
        <v>17000</v>
      </c>
      <c r="G35" s="31"/>
      <c r="H35" s="31"/>
      <c r="I35" s="36" t="s">
        <v>73</v>
      </c>
      <c r="J35" s="5"/>
      <c r="K35" s="5"/>
      <c r="L35" s="5"/>
      <c r="M35" s="5"/>
      <c r="N35" s="140"/>
      <c r="O35" s="136"/>
      <c r="P35" s="82">
        <f t="shared" si="0"/>
        <v>17000</v>
      </c>
    </row>
    <row r="36" spans="1:16" x14ac:dyDescent="0.2">
      <c r="A36" s="167"/>
      <c r="B36" s="131"/>
      <c r="C36" s="33"/>
      <c r="D36" s="21" t="s">
        <v>94</v>
      </c>
      <c r="E36" s="45" t="s">
        <v>199</v>
      </c>
      <c r="F36" s="52">
        <v>20000</v>
      </c>
      <c r="G36" s="31"/>
      <c r="H36" s="31"/>
      <c r="I36" s="36" t="s">
        <v>73</v>
      </c>
      <c r="J36" s="5"/>
      <c r="K36" s="5"/>
      <c r="L36" s="5"/>
      <c r="M36" s="5"/>
      <c r="N36" s="136"/>
      <c r="O36" s="136"/>
      <c r="P36" s="82">
        <f t="shared" si="0"/>
        <v>20000</v>
      </c>
    </row>
    <row r="37" spans="1:16" ht="29.25" customHeight="1" x14ac:dyDescent="0.2">
      <c r="A37" s="167"/>
      <c r="B37" s="131"/>
      <c r="C37" s="33"/>
      <c r="D37" s="39" t="s">
        <v>95</v>
      </c>
      <c r="E37" s="45" t="s">
        <v>97</v>
      </c>
      <c r="F37" s="53">
        <v>20000</v>
      </c>
      <c r="G37" s="18"/>
      <c r="H37" s="18"/>
      <c r="I37" s="40" t="s">
        <v>73</v>
      </c>
      <c r="J37" s="5"/>
      <c r="K37" s="5"/>
      <c r="L37" s="5"/>
      <c r="M37" s="5"/>
      <c r="N37" s="136"/>
      <c r="O37" s="136"/>
      <c r="P37" s="82">
        <f t="shared" si="0"/>
        <v>20000</v>
      </c>
    </row>
    <row r="38" spans="1:16" ht="29.25" customHeight="1" x14ac:dyDescent="0.2">
      <c r="A38" s="167"/>
      <c r="B38" s="131"/>
      <c r="C38" s="33"/>
      <c r="D38" s="39" t="s">
        <v>200</v>
      </c>
      <c r="E38" s="45" t="s">
        <v>201</v>
      </c>
      <c r="F38" s="53">
        <v>19000</v>
      </c>
      <c r="G38" s="18"/>
      <c r="H38" s="18"/>
      <c r="I38" s="40" t="s">
        <v>73</v>
      </c>
      <c r="J38" s="5"/>
      <c r="K38" s="5"/>
      <c r="L38" s="5"/>
      <c r="M38" s="5"/>
      <c r="N38" s="136"/>
      <c r="O38" s="136"/>
      <c r="P38" s="82">
        <f t="shared" ref="P38" si="1">F38-H38</f>
        <v>19000</v>
      </c>
    </row>
    <row r="39" spans="1:16" x14ac:dyDescent="0.2">
      <c r="A39" s="167"/>
      <c r="B39" s="131"/>
      <c r="C39" s="33"/>
      <c r="D39" s="21" t="s">
        <v>109</v>
      </c>
      <c r="E39" s="94"/>
      <c r="F39" s="53">
        <f>SUM(F40:F44)</f>
        <v>30000</v>
      </c>
      <c r="G39" s="17"/>
      <c r="H39" s="17"/>
      <c r="I39" s="36"/>
      <c r="J39" s="5"/>
      <c r="K39" s="5"/>
      <c r="L39" s="5"/>
      <c r="M39" s="5"/>
      <c r="N39" s="136"/>
      <c r="O39" s="136"/>
      <c r="P39" s="82">
        <f t="shared" si="0"/>
        <v>30000</v>
      </c>
    </row>
    <row r="40" spans="1:16" x14ac:dyDescent="0.2">
      <c r="A40" s="167"/>
      <c r="B40" s="131"/>
      <c r="C40" s="33"/>
      <c r="D40" s="3" t="s">
        <v>99</v>
      </c>
      <c r="E40" s="18" t="s">
        <v>104</v>
      </c>
      <c r="F40" s="18">
        <v>12000</v>
      </c>
      <c r="G40" s="18"/>
      <c r="H40" s="18"/>
      <c r="I40" s="36" t="s">
        <v>73</v>
      </c>
      <c r="J40" s="5"/>
      <c r="K40" s="5"/>
      <c r="L40" s="5"/>
      <c r="M40" s="5"/>
      <c r="N40" s="136"/>
      <c r="O40" s="136"/>
      <c r="P40" s="50">
        <f t="shared" si="0"/>
        <v>12000</v>
      </c>
    </row>
    <row r="41" spans="1:16" x14ac:dyDescent="0.2">
      <c r="A41" s="167"/>
      <c r="B41" s="131"/>
      <c r="C41" s="33"/>
      <c r="D41" s="3" t="s">
        <v>100</v>
      </c>
      <c r="E41" s="18" t="s">
        <v>105</v>
      </c>
      <c r="F41" s="18">
        <v>5000</v>
      </c>
      <c r="G41" s="18"/>
      <c r="H41" s="18"/>
      <c r="I41" s="36" t="s">
        <v>73</v>
      </c>
      <c r="J41" s="5"/>
      <c r="K41" s="5"/>
      <c r="L41" s="5"/>
      <c r="M41" s="5"/>
      <c r="N41" s="136"/>
      <c r="O41" s="136"/>
      <c r="P41" s="50">
        <f t="shared" si="0"/>
        <v>5000</v>
      </c>
    </row>
    <row r="42" spans="1:16" x14ac:dyDescent="0.2">
      <c r="A42" s="167"/>
      <c r="B42" s="131"/>
      <c r="C42" s="33"/>
      <c r="D42" s="3" t="s">
        <v>101</v>
      </c>
      <c r="E42" s="18" t="s">
        <v>106</v>
      </c>
      <c r="F42" s="18">
        <v>3000</v>
      </c>
      <c r="G42" s="18"/>
      <c r="H42" s="18"/>
      <c r="I42" s="36" t="s">
        <v>73</v>
      </c>
      <c r="J42" s="5"/>
      <c r="K42" s="5"/>
      <c r="L42" s="5"/>
      <c r="M42" s="5"/>
      <c r="N42" s="136"/>
      <c r="O42" s="136"/>
      <c r="P42" s="50">
        <f t="shared" si="0"/>
        <v>3000</v>
      </c>
    </row>
    <row r="43" spans="1:16" x14ac:dyDescent="0.2">
      <c r="A43" s="167"/>
      <c r="B43" s="131"/>
      <c r="C43" s="33"/>
      <c r="D43" s="3" t="s">
        <v>102</v>
      </c>
      <c r="E43" s="18" t="s">
        <v>107</v>
      </c>
      <c r="F43" s="18">
        <v>5000</v>
      </c>
      <c r="G43" s="18"/>
      <c r="H43" s="18"/>
      <c r="I43" s="36" t="s">
        <v>73</v>
      </c>
      <c r="J43" s="5"/>
      <c r="K43" s="5"/>
      <c r="L43" s="5"/>
      <c r="M43" s="5"/>
      <c r="N43" s="79"/>
      <c r="O43" s="79"/>
      <c r="P43" s="50">
        <f t="shared" si="0"/>
        <v>5000</v>
      </c>
    </row>
    <row r="44" spans="1:16" x14ac:dyDescent="0.2">
      <c r="A44" s="167"/>
      <c r="B44" s="131"/>
      <c r="C44" s="33"/>
      <c r="D44" s="3" t="s">
        <v>103</v>
      </c>
      <c r="E44" s="18" t="s">
        <v>108</v>
      </c>
      <c r="F44" s="18">
        <v>5000</v>
      </c>
      <c r="G44" s="18"/>
      <c r="H44" s="18"/>
      <c r="I44" s="36" t="s">
        <v>73</v>
      </c>
      <c r="J44" s="5"/>
      <c r="K44" s="5"/>
      <c r="L44" s="5"/>
      <c r="M44" s="5"/>
      <c r="N44" s="136"/>
      <c r="O44" s="136"/>
      <c r="P44" s="50">
        <f t="shared" si="0"/>
        <v>5000</v>
      </c>
    </row>
    <row r="45" spans="1:16" ht="22.5" x14ac:dyDescent="0.2">
      <c r="A45" s="167"/>
      <c r="B45" s="131"/>
      <c r="C45" s="121" t="s">
        <v>202</v>
      </c>
      <c r="D45" s="21" t="s">
        <v>110</v>
      </c>
      <c r="E45" s="45" t="s">
        <v>111</v>
      </c>
      <c r="F45" s="53">
        <v>55000</v>
      </c>
      <c r="G45" s="17"/>
      <c r="H45" s="17"/>
      <c r="I45" s="40" t="s">
        <v>144</v>
      </c>
      <c r="J45" s="5"/>
      <c r="K45" s="5"/>
      <c r="L45" s="5"/>
      <c r="M45" s="5"/>
      <c r="N45" s="136"/>
      <c r="O45" s="136"/>
      <c r="P45" s="82">
        <f t="shared" si="0"/>
        <v>55000</v>
      </c>
    </row>
    <row r="46" spans="1:16" x14ac:dyDescent="0.2">
      <c r="A46" s="167"/>
      <c r="B46" s="131"/>
      <c r="C46" s="33"/>
      <c r="D46" s="3"/>
      <c r="E46" s="45"/>
      <c r="F46" s="18"/>
      <c r="G46" s="18"/>
      <c r="H46" s="18"/>
      <c r="I46" s="36"/>
      <c r="J46" s="5"/>
      <c r="K46" s="5"/>
      <c r="L46" s="5"/>
      <c r="M46" s="5"/>
      <c r="N46" s="136"/>
      <c r="O46" s="136"/>
      <c r="P46" s="82">
        <f t="shared" si="0"/>
        <v>0</v>
      </c>
    </row>
    <row r="47" spans="1:16" x14ac:dyDescent="0.2">
      <c r="A47" s="87">
        <v>6</v>
      </c>
      <c r="B47" s="131"/>
      <c r="C47" s="9"/>
      <c r="D47" s="21" t="s">
        <v>113</v>
      </c>
      <c r="E47" s="45"/>
      <c r="F47" s="17">
        <f>SUM(F48:F49)</f>
        <v>100000</v>
      </c>
      <c r="G47" s="17">
        <f>135000/1.2</f>
        <v>112500</v>
      </c>
      <c r="H47" s="17"/>
      <c r="I47" s="36"/>
      <c r="J47" s="5"/>
      <c r="K47" s="5"/>
      <c r="L47" s="5"/>
      <c r="M47" s="5"/>
      <c r="N47" s="136"/>
      <c r="O47" s="136"/>
      <c r="P47" s="82">
        <f t="shared" si="0"/>
        <v>100000</v>
      </c>
    </row>
    <row r="48" spans="1:16" ht="56.25" x14ac:dyDescent="0.2">
      <c r="A48" s="87"/>
      <c r="B48" s="131"/>
      <c r="C48" s="33"/>
      <c r="D48" s="3" t="s">
        <v>112</v>
      </c>
      <c r="E48" s="45" t="s">
        <v>114</v>
      </c>
      <c r="F48" s="18">
        <v>42000</v>
      </c>
      <c r="G48" s="18"/>
      <c r="H48" s="18"/>
      <c r="I48" s="40" t="s">
        <v>116</v>
      </c>
      <c r="J48" s="5"/>
      <c r="K48" s="40" t="s">
        <v>117</v>
      </c>
      <c r="L48" s="5"/>
      <c r="M48" s="5" t="s">
        <v>143</v>
      </c>
      <c r="N48" s="79"/>
      <c r="O48" s="79"/>
      <c r="P48" s="82">
        <f t="shared" si="0"/>
        <v>42000</v>
      </c>
    </row>
    <row r="49" spans="1:16" ht="56.25" x14ac:dyDescent="0.2">
      <c r="A49" s="87"/>
      <c r="B49" s="131"/>
      <c r="C49" s="33"/>
      <c r="D49" s="3" t="s">
        <v>25</v>
      </c>
      <c r="E49" s="45" t="s">
        <v>115</v>
      </c>
      <c r="F49" s="18">
        <v>58000</v>
      </c>
      <c r="G49" s="18"/>
      <c r="H49" s="18"/>
      <c r="I49" s="40" t="s">
        <v>116</v>
      </c>
      <c r="J49" s="5"/>
      <c r="K49" s="40" t="s">
        <v>117</v>
      </c>
      <c r="L49" s="5"/>
      <c r="M49" s="5" t="s">
        <v>143</v>
      </c>
      <c r="N49" s="136"/>
      <c r="O49" s="136"/>
      <c r="P49" s="82">
        <f t="shared" si="0"/>
        <v>58000</v>
      </c>
    </row>
    <row r="50" spans="1:16" x14ac:dyDescent="0.2">
      <c r="A50" s="88">
        <v>7</v>
      </c>
      <c r="B50" s="75"/>
      <c r="C50" s="33"/>
      <c r="D50" s="21" t="s">
        <v>121</v>
      </c>
      <c r="E50" s="45" t="s">
        <v>120</v>
      </c>
      <c r="F50" s="17">
        <f>SUM(F51:F52)</f>
        <v>16800</v>
      </c>
      <c r="G50" s="17"/>
      <c r="H50" s="17"/>
      <c r="I50" s="40"/>
      <c r="J50" s="5"/>
      <c r="K50" s="40"/>
      <c r="L50" s="5"/>
      <c r="M50" s="5"/>
      <c r="N50" s="79"/>
      <c r="O50" s="79"/>
      <c r="P50" s="82">
        <f t="shared" si="0"/>
        <v>16800</v>
      </c>
    </row>
    <row r="51" spans="1:16" x14ac:dyDescent="0.2">
      <c r="A51" s="89"/>
      <c r="B51" s="45">
        <v>3224</v>
      </c>
      <c r="C51" s="2"/>
      <c r="D51" s="3" t="s">
        <v>118</v>
      </c>
      <c r="E51" s="54"/>
      <c r="F51" s="30">
        <v>8000</v>
      </c>
      <c r="G51" s="30"/>
      <c r="H51" s="30"/>
      <c r="I51" s="36" t="s">
        <v>73</v>
      </c>
      <c r="J51" s="5"/>
      <c r="K51" s="5"/>
      <c r="L51" s="5"/>
      <c r="M51" s="5"/>
      <c r="N51" s="123"/>
      <c r="O51" s="123"/>
      <c r="P51" s="50">
        <f t="shared" si="0"/>
        <v>8000</v>
      </c>
    </row>
    <row r="52" spans="1:16" x14ac:dyDescent="0.2">
      <c r="A52" s="89"/>
      <c r="B52" s="45"/>
      <c r="C52" s="1"/>
      <c r="D52" s="3" t="s">
        <v>119</v>
      </c>
      <c r="F52" s="30">
        <v>8800</v>
      </c>
      <c r="G52" s="30"/>
      <c r="H52" s="30"/>
      <c r="I52" s="36" t="s">
        <v>73</v>
      </c>
      <c r="J52" s="5"/>
      <c r="K52" s="5"/>
      <c r="L52" s="5"/>
      <c r="M52" s="5"/>
      <c r="N52" s="80"/>
      <c r="O52" s="80"/>
      <c r="P52" s="50">
        <f t="shared" si="0"/>
        <v>8800</v>
      </c>
    </row>
    <row r="53" spans="1:16" x14ac:dyDescent="0.2">
      <c r="A53" s="89"/>
      <c r="B53" s="45"/>
      <c r="C53" s="1"/>
      <c r="D53" s="3"/>
      <c r="E53" s="45"/>
      <c r="F53" s="30"/>
      <c r="G53" s="30"/>
      <c r="H53" s="30"/>
      <c r="I53" s="36"/>
      <c r="J53" s="5"/>
      <c r="K53" s="5"/>
      <c r="L53" s="5"/>
      <c r="M53" s="5"/>
      <c r="N53" s="80"/>
      <c r="O53" s="80"/>
      <c r="P53" s="50">
        <f t="shared" si="0"/>
        <v>0</v>
      </c>
    </row>
    <row r="54" spans="1:16" x14ac:dyDescent="0.2">
      <c r="A54" s="89">
        <v>8</v>
      </c>
      <c r="B54" s="45">
        <v>3225</v>
      </c>
      <c r="C54" s="2"/>
      <c r="D54" s="21" t="s">
        <v>5</v>
      </c>
      <c r="E54" s="54"/>
      <c r="F54" s="31">
        <f>SUM(F57:F61)</f>
        <v>8960</v>
      </c>
      <c r="G54" s="31">
        <f>21000/1.25+10000/1.25</f>
        <v>24800</v>
      </c>
      <c r="H54" s="31"/>
      <c r="I54" s="36"/>
      <c r="J54" s="5"/>
      <c r="K54" s="5"/>
      <c r="L54" s="5"/>
      <c r="M54" s="5"/>
      <c r="N54" s="123"/>
      <c r="O54" s="123"/>
      <c r="P54" s="82">
        <f t="shared" si="0"/>
        <v>8960</v>
      </c>
    </row>
    <row r="55" spans="1:16" ht="12.75" hidden="1" customHeight="1" x14ac:dyDescent="0.2">
      <c r="A55" s="89" t="s">
        <v>40</v>
      </c>
      <c r="B55" s="45"/>
      <c r="C55" s="1"/>
      <c r="D55" s="3"/>
      <c r="E55" s="45"/>
      <c r="F55" s="30"/>
      <c r="G55" s="30"/>
      <c r="H55" s="30"/>
      <c r="I55" s="36"/>
      <c r="J55" s="5"/>
      <c r="K55" s="5"/>
      <c r="L55" s="5"/>
      <c r="M55" s="5"/>
      <c r="N55" s="123"/>
      <c r="O55" s="123"/>
      <c r="P55" s="82">
        <f t="shared" si="0"/>
        <v>0</v>
      </c>
    </row>
    <row r="56" spans="1:16" ht="12.75" hidden="1" customHeight="1" x14ac:dyDescent="0.2">
      <c r="A56" s="89" t="s">
        <v>41</v>
      </c>
      <c r="B56" s="45">
        <v>3227</v>
      </c>
      <c r="C56" s="1"/>
      <c r="D56" s="3" t="s">
        <v>26</v>
      </c>
      <c r="E56" s="45"/>
      <c r="F56" s="30"/>
      <c r="G56" s="30"/>
      <c r="H56" s="30"/>
      <c r="I56" s="36"/>
      <c r="J56" s="5"/>
      <c r="K56" s="5"/>
      <c r="L56" s="5"/>
      <c r="M56" s="5"/>
      <c r="N56" s="123"/>
      <c r="O56" s="123"/>
      <c r="P56" s="82">
        <f t="shared" si="0"/>
        <v>0</v>
      </c>
    </row>
    <row r="57" spans="1:16" ht="12.75" customHeight="1" x14ac:dyDescent="0.2">
      <c r="A57" s="89"/>
      <c r="B57" s="45"/>
      <c r="C57" s="1"/>
      <c r="D57" s="3" t="s">
        <v>148</v>
      </c>
      <c r="E57" s="45"/>
      <c r="F57" s="30">
        <v>1500</v>
      </c>
      <c r="G57" s="30"/>
      <c r="H57" s="30"/>
      <c r="I57" s="36" t="s">
        <v>73</v>
      </c>
      <c r="J57" s="5"/>
      <c r="K57" s="5"/>
      <c r="L57" s="5"/>
      <c r="M57" s="5"/>
      <c r="N57" s="80"/>
      <c r="O57" s="80"/>
      <c r="P57" s="50">
        <f t="shared" si="0"/>
        <v>1500</v>
      </c>
    </row>
    <row r="58" spans="1:16" ht="12.75" customHeight="1" x14ac:dyDescent="0.2">
      <c r="A58" s="89"/>
      <c r="B58" s="45"/>
      <c r="C58" s="1"/>
      <c r="D58" s="3" t="s">
        <v>149</v>
      </c>
      <c r="E58" s="45"/>
      <c r="F58" s="30">
        <v>500</v>
      </c>
      <c r="G58" s="30"/>
      <c r="H58" s="30"/>
      <c r="I58" s="36" t="s">
        <v>73</v>
      </c>
      <c r="J58" s="5"/>
      <c r="K58" s="5"/>
      <c r="L58" s="5"/>
      <c r="M58" s="5"/>
      <c r="N58" s="80"/>
      <c r="O58" s="80"/>
      <c r="P58" s="50">
        <f t="shared" si="0"/>
        <v>500</v>
      </c>
    </row>
    <row r="59" spans="1:16" ht="12.75" customHeight="1" x14ac:dyDescent="0.2">
      <c r="A59" s="89"/>
      <c r="B59" s="45"/>
      <c r="C59" s="1"/>
      <c r="D59" s="3" t="s">
        <v>150</v>
      </c>
      <c r="E59" s="45"/>
      <c r="F59" s="30">
        <v>960</v>
      </c>
      <c r="G59" s="30"/>
      <c r="H59" s="30"/>
      <c r="I59" s="36" t="s">
        <v>73</v>
      </c>
      <c r="J59" s="5"/>
      <c r="K59" s="5"/>
      <c r="L59" s="5"/>
      <c r="M59" s="5"/>
      <c r="N59" s="80"/>
      <c r="O59" s="80"/>
      <c r="P59" s="50">
        <f t="shared" si="0"/>
        <v>960</v>
      </c>
    </row>
    <row r="60" spans="1:16" ht="12.75" customHeight="1" x14ac:dyDescent="0.2">
      <c r="A60" s="89"/>
      <c r="B60" s="45"/>
      <c r="C60" s="1"/>
      <c r="D60" s="3" t="s">
        <v>151</v>
      </c>
      <c r="E60" s="45"/>
      <c r="F60" s="30">
        <v>1000</v>
      </c>
      <c r="G60" s="30"/>
      <c r="H60" s="30"/>
      <c r="I60" s="36" t="s">
        <v>73</v>
      </c>
      <c r="J60" s="5"/>
      <c r="K60" s="5"/>
      <c r="L60" s="5"/>
      <c r="M60" s="5"/>
      <c r="N60" s="80"/>
      <c r="O60" s="80"/>
      <c r="P60" s="50">
        <f t="shared" si="0"/>
        <v>1000</v>
      </c>
    </row>
    <row r="61" spans="1:16" ht="12.75" customHeight="1" x14ac:dyDescent="0.2">
      <c r="A61" s="89"/>
      <c r="B61" s="45"/>
      <c r="C61" s="1"/>
      <c r="D61" s="3" t="s">
        <v>152</v>
      </c>
      <c r="E61" s="45"/>
      <c r="F61" s="30">
        <v>5000</v>
      </c>
      <c r="G61" s="30"/>
      <c r="H61" s="30"/>
      <c r="I61" s="36" t="s">
        <v>73</v>
      </c>
      <c r="J61" s="5"/>
      <c r="K61" s="5"/>
      <c r="L61" s="5"/>
      <c r="M61" s="5"/>
      <c r="N61" s="80"/>
      <c r="O61" s="80"/>
      <c r="P61" s="50">
        <f t="shared" si="0"/>
        <v>5000</v>
      </c>
    </row>
    <row r="62" spans="1:16" x14ac:dyDescent="0.2">
      <c r="A62" s="89">
        <v>9</v>
      </c>
      <c r="B62" s="45">
        <v>3227</v>
      </c>
      <c r="C62" s="2"/>
      <c r="D62" s="21" t="s">
        <v>26</v>
      </c>
      <c r="E62" s="54"/>
      <c r="F62" s="31">
        <v>2156</v>
      </c>
      <c r="G62" s="31">
        <f>2695/1.25</f>
        <v>2156</v>
      </c>
      <c r="H62" s="31"/>
      <c r="I62" s="36" t="s">
        <v>73</v>
      </c>
      <c r="J62" s="5"/>
      <c r="K62" s="5"/>
      <c r="L62" s="5"/>
      <c r="M62" s="5"/>
      <c r="N62" s="123"/>
      <c r="O62" s="123"/>
      <c r="P62" s="50">
        <f t="shared" si="0"/>
        <v>2156</v>
      </c>
    </row>
    <row r="63" spans="1:16" x14ac:dyDescent="0.2">
      <c r="A63" s="166">
        <v>10</v>
      </c>
      <c r="B63" s="45">
        <v>3231</v>
      </c>
      <c r="C63" s="2"/>
      <c r="D63" s="21" t="s">
        <v>27</v>
      </c>
      <c r="E63" s="54"/>
      <c r="F63" s="31">
        <f>SUM(F64:F66)</f>
        <v>35600</v>
      </c>
      <c r="G63" s="31">
        <f>13333/1.25+38000/1.25</f>
        <v>41066.400000000001</v>
      </c>
      <c r="H63" s="31"/>
      <c r="I63" s="36"/>
      <c r="J63" s="5"/>
      <c r="K63" s="5"/>
      <c r="L63" s="5"/>
      <c r="M63" s="5"/>
      <c r="N63" s="123"/>
      <c r="O63" s="123"/>
      <c r="P63" s="82">
        <f t="shared" si="0"/>
        <v>35600</v>
      </c>
    </row>
    <row r="64" spans="1:16" ht="22.5" x14ac:dyDescent="0.2">
      <c r="A64" s="167"/>
      <c r="B64" s="130"/>
      <c r="C64" s="101" t="s">
        <v>203</v>
      </c>
      <c r="D64" s="3" t="s">
        <v>74</v>
      </c>
      <c r="E64" s="120">
        <v>60000000</v>
      </c>
      <c r="F64" s="30">
        <v>24420</v>
      </c>
      <c r="G64" s="30"/>
      <c r="H64" s="30"/>
      <c r="I64" s="40" t="s">
        <v>122</v>
      </c>
      <c r="J64" s="5"/>
      <c r="K64" s="5"/>
      <c r="L64" s="5"/>
      <c r="M64" s="5"/>
      <c r="N64" s="80"/>
      <c r="O64" s="80"/>
      <c r="P64" s="50">
        <f t="shared" si="0"/>
        <v>24420</v>
      </c>
    </row>
    <row r="65" spans="1:16" x14ac:dyDescent="0.2">
      <c r="A65" s="167"/>
      <c r="B65" s="131"/>
      <c r="C65" s="33"/>
      <c r="D65" s="3" t="s">
        <v>64</v>
      </c>
      <c r="E65" s="45"/>
      <c r="F65" s="30">
        <v>3500</v>
      </c>
      <c r="G65" s="30"/>
      <c r="H65" s="30"/>
      <c r="I65" s="36" t="s">
        <v>73</v>
      </c>
      <c r="J65" s="5"/>
      <c r="K65" s="5"/>
      <c r="L65" s="5"/>
      <c r="M65" s="5"/>
      <c r="N65" s="80"/>
      <c r="O65" s="80"/>
      <c r="P65" s="50">
        <f t="shared" si="0"/>
        <v>3500</v>
      </c>
    </row>
    <row r="66" spans="1:16" x14ac:dyDescent="0.2">
      <c r="A66" s="167"/>
      <c r="B66" s="131"/>
      <c r="C66" s="33"/>
      <c r="D66" s="3" t="s">
        <v>63</v>
      </c>
      <c r="E66" s="45"/>
      <c r="F66" s="30">
        <v>7680</v>
      </c>
      <c r="G66" s="30"/>
      <c r="H66" s="30"/>
      <c r="I66" s="36" t="s">
        <v>73</v>
      </c>
      <c r="J66" s="5"/>
      <c r="K66" s="5"/>
      <c r="L66" s="5"/>
      <c r="M66" s="5"/>
      <c r="N66" s="80"/>
      <c r="O66" s="80"/>
      <c r="P66" s="50">
        <f t="shared" si="0"/>
        <v>7680</v>
      </c>
    </row>
    <row r="67" spans="1:16" x14ac:dyDescent="0.2">
      <c r="A67" s="168"/>
      <c r="B67" s="135"/>
      <c r="C67" s="27"/>
      <c r="D67" s="3"/>
      <c r="E67" s="45"/>
      <c r="F67" s="30"/>
      <c r="G67" s="30"/>
      <c r="H67" s="30"/>
      <c r="I67" s="36"/>
      <c r="J67" s="5"/>
      <c r="K67" s="5"/>
      <c r="L67" s="5"/>
      <c r="M67" s="5"/>
      <c r="N67" s="80"/>
      <c r="O67" s="80"/>
      <c r="P67" s="50">
        <f t="shared" si="0"/>
        <v>0</v>
      </c>
    </row>
    <row r="68" spans="1:16" x14ac:dyDescent="0.2">
      <c r="A68" s="90">
        <v>11</v>
      </c>
      <c r="B68" s="76">
        <v>3233</v>
      </c>
      <c r="C68" s="27"/>
      <c r="D68" s="21" t="s">
        <v>153</v>
      </c>
      <c r="E68" s="45"/>
      <c r="F68" s="31">
        <v>400</v>
      </c>
      <c r="G68" s="31">
        <f>1500/1.25</f>
        <v>1200</v>
      </c>
      <c r="H68" s="31"/>
      <c r="I68" s="36" t="s">
        <v>73</v>
      </c>
      <c r="J68" s="5"/>
      <c r="K68" s="5"/>
      <c r="L68" s="5"/>
      <c r="M68" s="5"/>
      <c r="N68" s="80"/>
      <c r="O68" s="80"/>
      <c r="P68" s="82">
        <f t="shared" si="0"/>
        <v>400</v>
      </c>
    </row>
    <row r="69" spans="1:16" x14ac:dyDescent="0.2">
      <c r="A69" s="166">
        <v>12</v>
      </c>
      <c r="B69" s="45">
        <v>3232</v>
      </c>
      <c r="C69" s="2"/>
      <c r="D69" s="21" t="s">
        <v>7</v>
      </c>
      <c r="E69" s="54"/>
      <c r="F69" s="31">
        <f>SUM(F70:F73)</f>
        <v>54612.39</v>
      </c>
      <c r="G69" s="31">
        <f>40000/1.25+20000/1.25</f>
        <v>48000</v>
      </c>
      <c r="H69" s="31"/>
      <c r="I69" s="36"/>
      <c r="J69" s="5"/>
      <c r="K69" s="5"/>
      <c r="L69" s="5"/>
      <c r="M69" s="5"/>
      <c r="N69" s="123"/>
      <c r="O69" s="123"/>
      <c r="P69" s="82">
        <f t="shared" si="0"/>
        <v>54612.39</v>
      </c>
    </row>
    <row r="70" spans="1:16" hidden="1" x14ac:dyDescent="0.2">
      <c r="A70" s="167"/>
      <c r="B70" s="46"/>
      <c r="C70" s="42"/>
      <c r="D70" s="56"/>
      <c r="E70" s="95"/>
      <c r="F70" s="58"/>
      <c r="G70" s="50"/>
      <c r="H70" s="50"/>
      <c r="I70" s="36"/>
      <c r="J70" s="5"/>
      <c r="K70" s="5"/>
      <c r="L70" s="5"/>
      <c r="M70" s="5"/>
      <c r="N70" s="80"/>
      <c r="O70" s="80"/>
      <c r="P70" s="82">
        <f t="shared" si="0"/>
        <v>0</v>
      </c>
    </row>
    <row r="71" spans="1:16" hidden="1" x14ac:dyDescent="0.2">
      <c r="A71" s="167"/>
      <c r="B71" s="46"/>
      <c r="C71" s="42"/>
      <c r="D71" s="56"/>
      <c r="E71" s="95"/>
      <c r="F71" s="58"/>
      <c r="G71" s="50"/>
      <c r="H71" s="50"/>
      <c r="I71" s="36"/>
      <c r="J71" s="5"/>
      <c r="K71" s="5"/>
      <c r="L71" s="5"/>
      <c r="M71" s="5"/>
      <c r="N71" s="80"/>
      <c r="O71" s="80"/>
      <c r="P71" s="82">
        <f t="shared" si="0"/>
        <v>0</v>
      </c>
    </row>
    <row r="72" spans="1:16" hidden="1" x14ac:dyDescent="0.2">
      <c r="A72" s="167"/>
      <c r="B72" s="46"/>
      <c r="C72" s="42"/>
      <c r="D72" s="56"/>
      <c r="E72" s="95"/>
      <c r="F72" s="58"/>
      <c r="G72" s="50"/>
      <c r="H72" s="50"/>
      <c r="I72" s="36"/>
      <c r="J72" s="5"/>
      <c r="K72" s="5"/>
      <c r="L72" s="5"/>
      <c r="M72" s="5"/>
      <c r="N72" s="80"/>
      <c r="O72" s="80"/>
      <c r="P72" s="82">
        <f t="shared" si="0"/>
        <v>0</v>
      </c>
    </row>
    <row r="73" spans="1:16" x14ac:dyDescent="0.2">
      <c r="A73" s="167"/>
      <c r="B73" s="46"/>
      <c r="C73" s="42"/>
      <c r="D73" s="55" t="s">
        <v>123</v>
      </c>
      <c r="E73" s="54"/>
      <c r="F73" s="52">
        <f>SUM(F74:F82)</f>
        <v>54612.39</v>
      </c>
      <c r="G73" s="50"/>
      <c r="H73" s="50"/>
      <c r="I73" s="36"/>
      <c r="J73" s="5"/>
      <c r="K73" s="5"/>
      <c r="L73" s="5"/>
      <c r="M73" s="5"/>
      <c r="N73" s="80"/>
      <c r="O73" s="80"/>
      <c r="P73" s="82">
        <f t="shared" si="0"/>
        <v>54612.39</v>
      </c>
    </row>
    <row r="74" spans="1:16" x14ac:dyDescent="0.2">
      <c r="A74" s="167"/>
      <c r="B74" s="130"/>
      <c r="C74" s="26"/>
      <c r="D74" s="3" t="s">
        <v>159</v>
      </c>
      <c r="E74" s="45"/>
      <c r="F74" s="30">
        <v>2000</v>
      </c>
      <c r="G74" s="30"/>
      <c r="H74" s="30"/>
      <c r="I74" s="36" t="s">
        <v>73</v>
      </c>
      <c r="J74" s="5"/>
      <c r="K74" s="11"/>
      <c r="L74" s="11"/>
      <c r="M74" s="11"/>
      <c r="N74" s="80"/>
      <c r="O74" s="80"/>
      <c r="P74" s="50">
        <f t="shared" si="0"/>
        <v>2000</v>
      </c>
    </row>
    <row r="75" spans="1:16" x14ac:dyDescent="0.2">
      <c r="A75" s="167"/>
      <c r="B75" s="131"/>
      <c r="C75" s="33"/>
      <c r="D75" s="3" t="s">
        <v>51</v>
      </c>
      <c r="E75" s="45"/>
      <c r="F75" s="30">
        <v>6000</v>
      </c>
      <c r="G75" s="30"/>
      <c r="H75" s="30"/>
      <c r="I75" s="36" t="s">
        <v>73</v>
      </c>
      <c r="J75" s="5"/>
      <c r="K75" s="5"/>
      <c r="L75" s="5"/>
      <c r="M75" s="5"/>
      <c r="N75" s="80"/>
      <c r="O75" s="80"/>
      <c r="P75" s="50">
        <f t="shared" si="0"/>
        <v>6000</v>
      </c>
    </row>
    <row r="76" spans="1:16" x14ac:dyDescent="0.2">
      <c r="A76" s="167"/>
      <c r="B76" s="131"/>
      <c r="C76" s="33"/>
      <c r="D76" s="3" t="s">
        <v>52</v>
      </c>
      <c r="E76" s="45"/>
      <c r="F76" s="30">
        <v>7000</v>
      </c>
      <c r="G76" s="30"/>
      <c r="H76" s="30"/>
      <c r="I76" s="36" t="s">
        <v>73</v>
      </c>
      <c r="J76" s="5"/>
      <c r="K76" s="5"/>
      <c r="L76" s="5"/>
      <c r="M76" s="5"/>
      <c r="N76" s="80"/>
      <c r="O76" s="80"/>
      <c r="P76" s="50">
        <f t="shared" si="0"/>
        <v>7000</v>
      </c>
    </row>
    <row r="77" spans="1:16" x14ac:dyDescent="0.2">
      <c r="A77" s="167"/>
      <c r="B77" s="131"/>
      <c r="C77" s="33"/>
      <c r="D77" s="3" t="s">
        <v>53</v>
      </c>
      <c r="E77" s="45"/>
      <c r="F77" s="30">
        <v>5000</v>
      </c>
      <c r="G77" s="30"/>
      <c r="H77" s="30"/>
      <c r="I77" s="36" t="s">
        <v>73</v>
      </c>
      <c r="J77" s="5"/>
      <c r="K77" s="5"/>
      <c r="L77" s="5"/>
      <c r="M77" s="5"/>
      <c r="N77" s="80"/>
      <c r="O77" s="80"/>
      <c r="P77" s="50">
        <f t="shared" si="0"/>
        <v>5000</v>
      </c>
    </row>
    <row r="78" spans="1:16" x14ac:dyDescent="0.2">
      <c r="A78" s="167"/>
      <c r="B78" s="131"/>
      <c r="C78" s="33"/>
      <c r="D78" s="3" t="s">
        <v>54</v>
      </c>
      <c r="E78" s="45"/>
      <c r="F78" s="30">
        <v>2500</v>
      </c>
      <c r="G78" s="30"/>
      <c r="H78" s="30"/>
      <c r="I78" s="36" t="s">
        <v>73</v>
      </c>
      <c r="J78" s="5"/>
      <c r="K78" s="5"/>
      <c r="L78" s="5"/>
      <c r="M78" s="5"/>
      <c r="N78" s="80"/>
      <c r="O78" s="80"/>
      <c r="P78" s="50">
        <f t="shared" si="0"/>
        <v>2500</v>
      </c>
    </row>
    <row r="79" spans="1:16" x14ac:dyDescent="0.2">
      <c r="A79" s="167"/>
      <c r="B79" s="131"/>
      <c r="C79" s="33"/>
      <c r="D79" s="3" t="s">
        <v>124</v>
      </c>
      <c r="E79" s="45"/>
      <c r="F79" s="30">
        <v>15000</v>
      </c>
      <c r="G79" s="30"/>
      <c r="H79" s="30"/>
      <c r="I79" s="36" t="s">
        <v>73</v>
      </c>
      <c r="J79" s="5"/>
      <c r="K79" s="5"/>
      <c r="L79" s="5"/>
      <c r="M79" s="5"/>
      <c r="N79" s="80"/>
      <c r="O79" s="80"/>
      <c r="P79" s="50">
        <f t="shared" si="0"/>
        <v>15000</v>
      </c>
    </row>
    <row r="80" spans="1:16" x14ac:dyDescent="0.2">
      <c r="A80" s="167"/>
      <c r="B80" s="131"/>
      <c r="C80" s="33"/>
      <c r="D80" s="3" t="s">
        <v>59</v>
      </c>
      <c r="E80" s="45"/>
      <c r="F80" s="30">
        <v>8000</v>
      </c>
      <c r="G80" s="30"/>
      <c r="H80" s="30"/>
      <c r="I80" s="36" t="s">
        <v>73</v>
      </c>
      <c r="J80" s="5"/>
      <c r="K80" s="5"/>
      <c r="L80" s="5"/>
      <c r="M80" s="5"/>
      <c r="N80" s="80"/>
      <c r="O80" s="80"/>
      <c r="P80" s="50">
        <f t="shared" si="0"/>
        <v>8000</v>
      </c>
    </row>
    <row r="81" spans="1:19" x14ac:dyDescent="0.2">
      <c r="A81" s="167"/>
      <c r="B81" s="131"/>
      <c r="C81" s="33"/>
      <c r="D81" s="3" t="s">
        <v>65</v>
      </c>
      <c r="E81" s="45"/>
      <c r="F81" s="30">
        <v>5000</v>
      </c>
      <c r="G81" s="30"/>
      <c r="H81" s="30"/>
      <c r="I81" s="36" t="s">
        <v>73</v>
      </c>
      <c r="J81" s="5"/>
      <c r="K81" s="5"/>
      <c r="L81" s="5"/>
      <c r="M81" s="5"/>
      <c r="N81" s="80"/>
      <c r="O81" s="80"/>
      <c r="P81" s="50">
        <f t="shared" si="0"/>
        <v>5000</v>
      </c>
    </row>
    <row r="82" spans="1:19" x14ac:dyDescent="0.2">
      <c r="A82" s="168"/>
      <c r="B82" s="135"/>
      <c r="C82" s="27"/>
      <c r="D82" s="3" t="s">
        <v>75</v>
      </c>
      <c r="E82" s="45"/>
      <c r="F82" s="30">
        <v>4112.3900000000003</v>
      </c>
      <c r="G82" s="30"/>
      <c r="H82" s="30"/>
      <c r="I82" s="36" t="s">
        <v>73</v>
      </c>
      <c r="J82" s="5"/>
      <c r="K82" s="5"/>
      <c r="L82" s="5"/>
      <c r="M82" s="5"/>
      <c r="N82" s="80"/>
      <c r="O82" s="80"/>
      <c r="P82" s="50">
        <f t="shared" si="0"/>
        <v>4112.3900000000003</v>
      </c>
    </row>
    <row r="83" spans="1:19" ht="22.5" x14ac:dyDescent="0.2">
      <c r="A83" s="90"/>
      <c r="B83" s="76"/>
      <c r="C83" s="101" t="s">
        <v>178</v>
      </c>
      <c r="D83" s="3" t="s">
        <v>168</v>
      </c>
      <c r="E83" s="107" t="s">
        <v>206</v>
      </c>
      <c r="F83" s="30">
        <v>0</v>
      </c>
      <c r="G83" s="30"/>
      <c r="H83" s="82">
        <f>338801.91/1.25</f>
        <v>271041.52799999999</v>
      </c>
      <c r="I83" s="40" t="s">
        <v>122</v>
      </c>
      <c r="J83" s="5" t="s">
        <v>173</v>
      </c>
      <c r="K83" s="5" t="s">
        <v>169</v>
      </c>
      <c r="L83" s="5"/>
      <c r="M83" s="5"/>
      <c r="N83" s="80"/>
      <c r="O83" s="80"/>
      <c r="P83" s="82">
        <f>H83-F83</f>
        <v>271041.52799999999</v>
      </c>
    </row>
    <row r="84" spans="1:19" x14ac:dyDescent="0.2">
      <c r="A84" s="90"/>
      <c r="B84" s="76"/>
      <c r="C84" s="101" t="s">
        <v>214</v>
      </c>
      <c r="D84" s="3" t="s">
        <v>181</v>
      </c>
      <c r="E84" s="107">
        <v>71247000</v>
      </c>
      <c r="F84" s="30">
        <v>0</v>
      </c>
      <c r="G84" s="30"/>
      <c r="H84" s="82">
        <f>30656.25/1.25</f>
        <v>24525</v>
      </c>
      <c r="I84" s="36" t="s">
        <v>73</v>
      </c>
      <c r="J84" s="5" t="s">
        <v>173</v>
      </c>
      <c r="K84" s="5" t="s">
        <v>182</v>
      </c>
      <c r="L84" s="5"/>
      <c r="M84" s="5"/>
      <c r="N84" s="80"/>
      <c r="O84" s="80"/>
      <c r="P84" s="82">
        <f>H84-F84</f>
        <v>24525</v>
      </c>
      <c r="R84" s="20">
        <f>P83+P84</f>
        <v>295566.52799999999</v>
      </c>
      <c r="S84">
        <f>R84*1.25</f>
        <v>369458.16</v>
      </c>
    </row>
    <row r="85" spans="1:19" x14ac:dyDescent="0.2">
      <c r="A85" s="166">
        <v>13</v>
      </c>
      <c r="B85" s="45">
        <v>3234</v>
      </c>
      <c r="C85" s="1"/>
      <c r="D85" s="21" t="s">
        <v>11</v>
      </c>
      <c r="E85" s="54"/>
      <c r="F85" s="31">
        <f>SUM(F86:F90)</f>
        <v>26400</v>
      </c>
      <c r="G85" s="31">
        <f>34000/1.25</f>
        <v>27200</v>
      </c>
      <c r="H85" s="31"/>
      <c r="I85" s="36"/>
      <c r="J85" s="5"/>
      <c r="K85" s="5"/>
      <c r="L85" s="5"/>
      <c r="M85" s="5"/>
      <c r="N85" s="123"/>
      <c r="O85" s="123"/>
      <c r="P85" s="82">
        <f>F85-H85</f>
        <v>26400</v>
      </c>
    </row>
    <row r="86" spans="1:19" x14ac:dyDescent="0.2">
      <c r="A86" s="167"/>
      <c r="B86" s="130"/>
      <c r="C86" s="26"/>
      <c r="D86" s="3" t="s">
        <v>125</v>
      </c>
      <c r="E86" s="45"/>
      <c r="F86" s="30">
        <v>12000</v>
      </c>
      <c r="G86" s="30"/>
      <c r="H86" s="30"/>
      <c r="I86" s="36" t="s">
        <v>73</v>
      </c>
      <c r="J86" s="5"/>
      <c r="K86" s="5"/>
      <c r="L86" s="5"/>
      <c r="M86" s="5"/>
      <c r="N86" s="123"/>
      <c r="O86" s="123"/>
      <c r="P86" s="50">
        <f t="shared" ref="P86:P114" si="2">F86-H86</f>
        <v>12000</v>
      </c>
    </row>
    <row r="87" spans="1:19" x14ac:dyDescent="0.2">
      <c r="A87" s="167"/>
      <c r="B87" s="131"/>
      <c r="C87" s="33"/>
      <c r="D87" s="3" t="s">
        <v>55</v>
      </c>
      <c r="E87" s="45"/>
      <c r="F87" s="30">
        <v>7500</v>
      </c>
      <c r="G87" s="30"/>
      <c r="H87" s="30"/>
      <c r="I87" s="36" t="s">
        <v>73</v>
      </c>
      <c r="J87" s="5"/>
      <c r="K87" s="5"/>
      <c r="L87" s="5"/>
      <c r="M87" s="5"/>
      <c r="N87" s="80"/>
      <c r="O87" s="80"/>
      <c r="P87" s="50">
        <f t="shared" si="2"/>
        <v>7500</v>
      </c>
    </row>
    <row r="88" spans="1:19" x14ac:dyDescent="0.2">
      <c r="A88" s="167"/>
      <c r="B88" s="131"/>
      <c r="C88" s="33"/>
      <c r="D88" s="3" t="s">
        <v>56</v>
      </c>
      <c r="E88" s="45"/>
      <c r="F88" s="30">
        <v>600</v>
      </c>
      <c r="G88" s="30"/>
      <c r="H88" s="30"/>
      <c r="I88" s="36" t="s">
        <v>73</v>
      </c>
      <c r="J88" s="5"/>
      <c r="K88" s="5"/>
      <c r="L88" s="5"/>
      <c r="M88" s="5"/>
      <c r="N88" s="80"/>
      <c r="O88" s="80"/>
      <c r="P88" s="50">
        <f t="shared" si="2"/>
        <v>600</v>
      </c>
    </row>
    <row r="89" spans="1:19" x14ac:dyDescent="0.2">
      <c r="A89" s="167"/>
      <c r="B89" s="131"/>
      <c r="C89" s="33"/>
      <c r="D89" s="3" t="s">
        <v>57</v>
      </c>
      <c r="E89" s="45"/>
      <c r="F89" s="30">
        <v>3500</v>
      </c>
      <c r="G89" s="30"/>
      <c r="H89" s="30"/>
      <c r="I89" s="36" t="s">
        <v>73</v>
      </c>
      <c r="J89" s="5"/>
      <c r="K89" s="5"/>
      <c r="L89" s="5"/>
      <c r="M89" s="5"/>
      <c r="N89" s="80"/>
      <c r="O89" s="80"/>
      <c r="P89" s="50">
        <f t="shared" si="2"/>
        <v>3500</v>
      </c>
    </row>
    <row r="90" spans="1:19" x14ac:dyDescent="0.2">
      <c r="A90" s="168"/>
      <c r="B90" s="135"/>
      <c r="C90" s="27"/>
      <c r="D90" s="3" t="s">
        <v>126</v>
      </c>
      <c r="E90" s="45"/>
      <c r="F90" s="30">
        <v>2800</v>
      </c>
      <c r="G90" s="30"/>
      <c r="H90" s="30"/>
      <c r="I90" s="36" t="s">
        <v>73</v>
      </c>
      <c r="J90" s="5"/>
      <c r="K90" s="5"/>
      <c r="L90" s="5"/>
      <c r="M90" s="5"/>
      <c r="N90" s="80"/>
      <c r="O90" s="80"/>
      <c r="P90" s="50">
        <f t="shared" si="2"/>
        <v>2800</v>
      </c>
    </row>
    <row r="91" spans="1:19" x14ac:dyDescent="0.2">
      <c r="A91" s="89">
        <v>14</v>
      </c>
      <c r="B91" s="45">
        <v>3235</v>
      </c>
      <c r="C91" s="2"/>
      <c r="D91" s="21" t="s">
        <v>44</v>
      </c>
      <c r="E91" s="54"/>
      <c r="F91" s="31">
        <v>2240</v>
      </c>
      <c r="G91" s="31">
        <f>800/1.25</f>
        <v>640</v>
      </c>
      <c r="H91" s="31"/>
      <c r="I91" s="36" t="s">
        <v>73</v>
      </c>
      <c r="J91" s="5"/>
      <c r="K91" s="5"/>
      <c r="L91" s="5"/>
      <c r="M91" s="5"/>
      <c r="N91" s="80"/>
      <c r="O91" s="80"/>
      <c r="P91" s="82">
        <f t="shared" si="2"/>
        <v>2240</v>
      </c>
    </row>
    <row r="92" spans="1:19" x14ac:dyDescent="0.2">
      <c r="A92" s="166">
        <v>15</v>
      </c>
      <c r="B92" s="45">
        <v>3236</v>
      </c>
      <c r="C92" s="2"/>
      <c r="D92" s="21" t="s">
        <v>21</v>
      </c>
      <c r="E92" s="54"/>
      <c r="F92" s="31">
        <f>SUM(F93:F94)</f>
        <v>12000</v>
      </c>
      <c r="G92" s="31">
        <v>12000</v>
      </c>
      <c r="H92" s="31"/>
      <c r="I92" s="36"/>
      <c r="J92" s="5"/>
      <c r="K92" s="5"/>
      <c r="L92" s="5"/>
      <c r="M92" s="5"/>
      <c r="N92" s="123"/>
      <c r="O92" s="123"/>
      <c r="P92" s="82">
        <f t="shared" si="2"/>
        <v>12000</v>
      </c>
    </row>
    <row r="93" spans="1:19" x14ac:dyDescent="0.2">
      <c r="A93" s="167"/>
      <c r="B93" s="130"/>
      <c r="C93" s="28"/>
      <c r="D93" s="3" t="s">
        <v>67</v>
      </c>
      <c r="E93" s="45"/>
      <c r="F93" s="30">
        <v>11000</v>
      </c>
      <c r="G93" s="30"/>
      <c r="H93" s="30"/>
      <c r="I93" s="36" t="s">
        <v>73</v>
      </c>
      <c r="J93" s="5"/>
      <c r="K93" s="5"/>
      <c r="L93" s="5"/>
      <c r="M93" s="5"/>
      <c r="N93" s="80"/>
      <c r="O93" s="80"/>
      <c r="P93" s="50">
        <f t="shared" si="2"/>
        <v>11000</v>
      </c>
    </row>
    <row r="94" spans="1:19" x14ac:dyDescent="0.2">
      <c r="A94" s="168"/>
      <c r="B94" s="135"/>
      <c r="C94" s="27"/>
      <c r="D94" s="3" t="s">
        <v>127</v>
      </c>
      <c r="E94" s="45"/>
      <c r="F94" s="30">
        <v>1000</v>
      </c>
      <c r="G94" s="30"/>
      <c r="H94" s="30"/>
      <c r="I94" s="36" t="s">
        <v>73</v>
      </c>
      <c r="J94" s="5"/>
      <c r="K94" s="5"/>
      <c r="L94" s="5"/>
      <c r="M94" s="5"/>
      <c r="N94" s="80"/>
      <c r="O94" s="80"/>
      <c r="P94" s="50">
        <f t="shared" si="2"/>
        <v>1000</v>
      </c>
    </row>
    <row r="95" spans="1:19" x14ac:dyDescent="0.2">
      <c r="A95" s="166">
        <v>16</v>
      </c>
      <c r="B95" s="45">
        <v>3237</v>
      </c>
      <c r="C95" s="2"/>
      <c r="D95" s="21" t="s">
        <v>66</v>
      </c>
      <c r="E95" s="54"/>
      <c r="F95" s="31">
        <f>SUM(F96:F97)</f>
        <v>5899.2</v>
      </c>
      <c r="G95" s="31">
        <f>6874/1.25+1000/1.25</f>
        <v>6299.2</v>
      </c>
      <c r="H95" s="31"/>
      <c r="I95" s="36"/>
      <c r="J95" s="5"/>
      <c r="K95" s="5"/>
      <c r="L95" s="5"/>
      <c r="M95" s="5"/>
      <c r="N95" s="123"/>
      <c r="O95" s="123"/>
      <c r="P95" s="82">
        <f t="shared" si="2"/>
        <v>5899.2</v>
      </c>
    </row>
    <row r="96" spans="1:19" x14ac:dyDescent="0.2">
      <c r="A96" s="167"/>
      <c r="B96" s="130"/>
      <c r="C96" s="26"/>
      <c r="D96" s="3" t="s">
        <v>129</v>
      </c>
      <c r="E96" s="45"/>
      <c r="F96" s="30">
        <v>1500</v>
      </c>
      <c r="G96" s="30"/>
      <c r="H96" s="30"/>
      <c r="I96" s="36"/>
      <c r="J96" s="5"/>
      <c r="K96" s="5"/>
      <c r="L96" s="5"/>
      <c r="M96" s="5"/>
      <c r="N96" s="123"/>
      <c r="O96" s="123"/>
      <c r="P96" s="50">
        <f t="shared" si="2"/>
        <v>1500</v>
      </c>
    </row>
    <row r="97" spans="1:16" x14ac:dyDescent="0.2">
      <c r="A97" s="168"/>
      <c r="B97" s="135"/>
      <c r="C97" s="27"/>
      <c r="D97" s="3" t="s">
        <v>128</v>
      </c>
      <c r="E97" s="45"/>
      <c r="F97" s="30">
        <v>4399.2</v>
      </c>
      <c r="G97" s="30"/>
      <c r="H97" s="30"/>
      <c r="I97" s="36" t="s">
        <v>73</v>
      </c>
      <c r="J97" s="5"/>
      <c r="K97" s="5"/>
      <c r="L97" s="5"/>
      <c r="M97" s="5"/>
      <c r="N97" s="124"/>
      <c r="O97" s="123"/>
      <c r="P97" s="50">
        <f t="shared" si="2"/>
        <v>4399.2</v>
      </c>
    </row>
    <row r="98" spans="1:16" x14ac:dyDescent="0.2">
      <c r="A98" s="166">
        <v>17</v>
      </c>
      <c r="B98" s="45">
        <v>3238</v>
      </c>
      <c r="C98" s="2"/>
      <c r="D98" s="21" t="s">
        <v>13</v>
      </c>
      <c r="E98" s="54"/>
      <c r="F98" s="31">
        <f>SUM(F99)</f>
        <v>14730.4</v>
      </c>
      <c r="G98" s="31">
        <f>15000/1.25</f>
        <v>12000</v>
      </c>
      <c r="H98" s="31"/>
      <c r="I98" s="36"/>
      <c r="J98" s="5"/>
      <c r="K98" s="5"/>
      <c r="L98" s="5"/>
      <c r="M98" s="5"/>
      <c r="N98" s="123"/>
      <c r="O98" s="123"/>
      <c r="P98" s="82">
        <f t="shared" si="2"/>
        <v>14730.4</v>
      </c>
    </row>
    <row r="99" spans="1:16" x14ac:dyDescent="0.2">
      <c r="A99" s="167"/>
      <c r="B99" s="74"/>
      <c r="C99" s="28"/>
      <c r="D99" s="3" t="s">
        <v>130</v>
      </c>
      <c r="E99" s="94"/>
      <c r="F99" s="30">
        <v>14730.4</v>
      </c>
      <c r="G99" s="30"/>
      <c r="H99" s="30"/>
      <c r="I99" s="36" t="s">
        <v>73</v>
      </c>
      <c r="J99" s="5"/>
      <c r="K99" s="5"/>
      <c r="L99" s="5"/>
      <c r="M99" s="5"/>
      <c r="N99" s="80"/>
      <c r="O99" s="80"/>
      <c r="P99" s="50">
        <f t="shared" si="2"/>
        <v>14730.4</v>
      </c>
    </row>
    <row r="100" spans="1:16" x14ac:dyDescent="0.2">
      <c r="A100" s="89">
        <v>18</v>
      </c>
      <c r="B100" s="47">
        <v>3239</v>
      </c>
      <c r="C100" s="25"/>
      <c r="D100" s="21" t="s">
        <v>28</v>
      </c>
      <c r="E100" s="54"/>
      <c r="F100" s="31">
        <v>16440</v>
      </c>
      <c r="G100" s="31">
        <f>3000/1.25+9000/1.25</f>
        <v>9600</v>
      </c>
      <c r="H100" s="31"/>
      <c r="I100" s="36" t="s">
        <v>73</v>
      </c>
      <c r="J100" s="5"/>
      <c r="K100" s="5"/>
      <c r="L100" s="5"/>
      <c r="M100" s="5"/>
      <c r="N100" s="123"/>
      <c r="O100" s="123"/>
      <c r="P100" s="82">
        <f t="shared" si="2"/>
        <v>16440</v>
      </c>
    </row>
    <row r="101" spans="1:16" ht="22.5" x14ac:dyDescent="0.2">
      <c r="A101" s="89">
        <v>19</v>
      </c>
      <c r="B101" s="47">
        <v>3292</v>
      </c>
      <c r="C101" s="25"/>
      <c r="D101" s="21" t="s">
        <v>155</v>
      </c>
      <c r="E101" s="54"/>
      <c r="F101" s="31">
        <v>11120</v>
      </c>
      <c r="G101" s="31">
        <f>13900</f>
        <v>13900</v>
      </c>
      <c r="H101" s="31"/>
      <c r="I101" s="40" t="s">
        <v>122</v>
      </c>
      <c r="J101" s="5"/>
      <c r="K101" s="5"/>
      <c r="L101" s="5"/>
      <c r="M101" s="5"/>
      <c r="N101" s="80"/>
      <c r="O101" s="80"/>
      <c r="P101" s="82">
        <f t="shared" si="2"/>
        <v>11120</v>
      </c>
    </row>
    <row r="102" spans="1:16" x14ac:dyDescent="0.2">
      <c r="A102" s="89">
        <v>20</v>
      </c>
      <c r="B102" s="45">
        <v>3293</v>
      </c>
      <c r="C102" s="2"/>
      <c r="D102" s="21" t="s">
        <v>58</v>
      </c>
      <c r="E102" s="54"/>
      <c r="F102" s="31">
        <v>4400</v>
      </c>
      <c r="G102" s="31">
        <f>9000/1.25</f>
        <v>7200</v>
      </c>
      <c r="H102" s="31"/>
      <c r="I102" s="36" t="s">
        <v>73</v>
      </c>
      <c r="J102" s="5"/>
      <c r="K102" s="5"/>
      <c r="L102" s="5"/>
      <c r="M102" s="5"/>
      <c r="N102" s="80"/>
      <c r="O102" s="80"/>
      <c r="P102" s="82">
        <f t="shared" si="2"/>
        <v>4400</v>
      </c>
    </row>
    <row r="103" spans="1:16" x14ac:dyDescent="0.2">
      <c r="A103" s="89">
        <v>21</v>
      </c>
      <c r="B103" s="45">
        <v>3294</v>
      </c>
      <c r="C103" s="2"/>
      <c r="D103" s="21" t="s">
        <v>16</v>
      </c>
      <c r="E103" s="54"/>
      <c r="F103" s="31">
        <v>920</v>
      </c>
      <c r="G103" s="31">
        <f>1150/1.25</f>
        <v>920</v>
      </c>
      <c r="H103" s="31"/>
      <c r="I103" s="36" t="s">
        <v>73</v>
      </c>
      <c r="J103" s="5"/>
      <c r="K103" s="5"/>
      <c r="L103" s="5"/>
      <c r="M103" s="5"/>
      <c r="N103" s="123"/>
      <c r="O103" s="123"/>
      <c r="P103" s="82">
        <f t="shared" si="2"/>
        <v>920</v>
      </c>
    </row>
    <row r="104" spans="1:16" x14ac:dyDescent="0.2">
      <c r="A104" s="89">
        <v>22</v>
      </c>
      <c r="B104" s="45">
        <v>3295</v>
      </c>
      <c r="C104" s="2"/>
      <c r="D104" s="21" t="s">
        <v>45</v>
      </c>
      <c r="E104" s="54"/>
      <c r="F104" s="31">
        <v>800</v>
      </c>
      <c r="G104" s="30">
        <f>1500/1.25</f>
        <v>1200</v>
      </c>
      <c r="H104" s="30"/>
      <c r="I104" s="36" t="s">
        <v>73</v>
      </c>
      <c r="J104" s="5"/>
      <c r="K104" s="5"/>
      <c r="L104" s="5"/>
      <c r="M104" s="5"/>
      <c r="N104" s="80"/>
      <c r="O104" s="80"/>
      <c r="P104" s="82">
        <f t="shared" si="2"/>
        <v>800</v>
      </c>
    </row>
    <row r="105" spans="1:16" x14ac:dyDescent="0.2">
      <c r="A105" s="89">
        <v>23</v>
      </c>
      <c r="B105" s="45">
        <v>3296</v>
      </c>
      <c r="C105" s="2"/>
      <c r="D105" s="21" t="s">
        <v>46</v>
      </c>
      <c r="E105" s="54"/>
      <c r="F105" s="30"/>
      <c r="G105" s="30"/>
      <c r="H105" s="30"/>
      <c r="I105" s="36"/>
      <c r="J105" s="5"/>
      <c r="K105" s="5"/>
      <c r="L105" s="5"/>
      <c r="M105" s="5"/>
      <c r="N105" s="80"/>
      <c r="O105" s="80"/>
      <c r="P105" s="82">
        <f t="shared" si="2"/>
        <v>0</v>
      </c>
    </row>
    <row r="106" spans="1:16" x14ac:dyDescent="0.2">
      <c r="A106" s="166">
        <v>24</v>
      </c>
      <c r="B106" s="45">
        <v>3299</v>
      </c>
      <c r="C106" s="2"/>
      <c r="D106" s="21" t="s">
        <v>20</v>
      </c>
      <c r="E106" s="54"/>
      <c r="F106" s="31">
        <f>SUM(F107:F110)</f>
        <v>15200</v>
      </c>
      <c r="G106" s="31">
        <f>4000/1.25</f>
        <v>3200</v>
      </c>
      <c r="H106" s="31"/>
      <c r="I106" s="36"/>
      <c r="J106" s="5"/>
      <c r="K106" s="5"/>
      <c r="L106" s="5"/>
      <c r="M106" s="5"/>
      <c r="N106" s="123"/>
      <c r="O106" s="123"/>
      <c r="P106" s="82">
        <f t="shared" si="2"/>
        <v>15200</v>
      </c>
    </row>
    <row r="107" spans="1:16" x14ac:dyDescent="0.2">
      <c r="A107" s="167"/>
      <c r="B107" s="130"/>
      <c r="C107" s="26"/>
      <c r="D107" s="3" t="s">
        <v>131</v>
      </c>
      <c r="E107" s="45"/>
      <c r="F107" s="30">
        <v>800</v>
      </c>
      <c r="G107" s="30"/>
      <c r="H107" s="30"/>
      <c r="I107" s="36" t="s">
        <v>73</v>
      </c>
      <c r="J107" s="5"/>
      <c r="K107" s="5"/>
      <c r="L107" s="5"/>
      <c r="M107" s="5"/>
      <c r="N107" s="80"/>
      <c r="O107" s="80"/>
      <c r="P107" s="50">
        <f t="shared" si="2"/>
        <v>800</v>
      </c>
    </row>
    <row r="108" spans="1:16" x14ac:dyDescent="0.2">
      <c r="A108" s="167"/>
      <c r="B108" s="131"/>
      <c r="C108" s="33"/>
      <c r="D108" s="3" t="s">
        <v>132</v>
      </c>
      <c r="E108" s="45"/>
      <c r="F108" s="30">
        <v>12300</v>
      </c>
      <c r="G108" s="30"/>
      <c r="H108" s="30"/>
      <c r="I108" s="36" t="s">
        <v>73</v>
      </c>
      <c r="J108" s="5"/>
      <c r="K108" s="5"/>
      <c r="L108" s="5"/>
      <c r="M108" s="5"/>
      <c r="N108" s="80"/>
      <c r="O108" s="80"/>
      <c r="P108" s="50">
        <f t="shared" si="2"/>
        <v>12300</v>
      </c>
    </row>
    <row r="109" spans="1:16" x14ac:dyDescent="0.2">
      <c r="A109" s="167"/>
      <c r="B109" s="131"/>
      <c r="C109" s="33"/>
      <c r="D109" s="3" t="s">
        <v>133</v>
      </c>
      <c r="E109" s="45"/>
      <c r="F109" s="30">
        <v>350</v>
      </c>
      <c r="G109" s="30"/>
      <c r="H109" s="30"/>
      <c r="I109" s="36" t="s">
        <v>73</v>
      </c>
      <c r="J109" s="5"/>
      <c r="K109" s="5"/>
      <c r="L109" s="5"/>
      <c r="M109" s="5"/>
      <c r="N109" s="80"/>
      <c r="O109" s="80"/>
      <c r="P109" s="50">
        <f t="shared" si="2"/>
        <v>350</v>
      </c>
    </row>
    <row r="110" spans="1:16" x14ac:dyDescent="0.2">
      <c r="A110" s="167"/>
      <c r="B110" s="131"/>
      <c r="C110" s="33"/>
      <c r="D110" s="3" t="s">
        <v>134</v>
      </c>
      <c r="E110" s="45"/>
      <c r="F110" s="30">
        <v>1750</v>
      </c>
      <c r="G110" s="30"/>
      <c r="H110" s="30"/>
      <c r="I110" s="36" t="s">
        <v>73</v>
      </c>
      <c r="J110" s="5"/>
      <c r="K110" s="5"/>
      <c r="L110" s="5"/>
      <c r="M110" s="5"/>
      <c r="N110" s="80"/>
      <c r="O110" s="80"/>
      <c r="P110" s="50">
        <f t="shared" si="2"/>
        <v>1750</v>
      </c>
    </row>
    <row r="111" spans="1:16" x14ac:dyDescent="0.2">
      <c r="A111" s="166">
        <v>25</v>
      </c>
      <c r="B111" s="45">
        <v>3431</v>
      </c>
      <c r="C111" s="2"/>
      <c r="D111" s="21" t="s">
        <v>29</v>
      </c>
      <c r="E111" s="54"/>
      <c r="F111" s="31">
        <f>SUM(F112)</f>
        <v>8400</v>
      </c>
      <c r="G111" s="31">
        <f>6500+900</f>
        <v>7400</v>
      </c>
      <c r="H111" s="31"/>
      <c r="I111" s="36" t="s">
        <v>73</v>
      </c>
      <c r="J111" s="5"/>
      <c r="K111" s="5"/>
      <c r="L111" s="5"/>
      <c r="M111" s="5"/>
      <c r="N111" s="123"/>
      <c r="O111" s="123"/>
      <c r="P111" s="82">
        <f t="shared" si="2"/>
        <v>8400</v>
      </c>
    </row>
    <row r="112" spans="1:16" x14ac:dyDescent="0.2">
      <c r="A112" s="168"/>
      <c r="B112" s="45"/>
      <c r="C112" s="1"/>
      <c r="D112" s="3" t="s">
        <v>76</v>
      </c>
      <c r="E112" s="45"/>
      <c r="F112" s="30">
        <v>8400</v>
      </c>
      <c r="G112" s="30"/>
      <c r="H112" s="30"/>
      <c r="I112" s="36" t="s">
        <v>73</v>
      </c>
      <c r="J112" s="5"/>
      <c r="K112" s="5"/>
      <c r="L112" s="5"/>
      <c r="M112" s="5"/>
      <c r="N112" s="80"/>
      <c r="O112" s="80"/>
      <c r="P112" s="50">
        <f t="shared" si="2"/>
        <v>8400</v>
      </c>
    </row>
    <row r="113" spans="1:19" x14ac:dyDescent="0.2">
      <c r="A113" s="91">
        <v>26</v>
      </c>
      <c r="B113" s="54">
        <v>3224</v>
      </c>
      <c r="C113" s="2"/>
      <c r="D113" s="21" t="s">
        <v>156</v>
      </c>
      <c r="E113" s="45"/>
      <c r="F113" s="31">
        <v>16800</v>
      </c>
      <c r="G113" s="31">
        <f>20560.56/1.25+10000/1.25</f>
        <v>24448.448</v>
      </c>
      <c r="H113" s="31"/>
      <c r="I113" s="36" t="s">
        <v>73</v>
      </c>
      <c r="J113" s="5"/>
      <c r="K113" s="5"/>
      <c r="L113" s="5"/>
      <c r="M113" s="5"/>
      <c r="N113" s="80"/>
      <c r="O113" s="80"/>
      <c r="P113" s="82">
        <f t="shared" si="2"/>
        <v>16800</v>
      </c>
    </row>
    <row r="114" spans="1:19" x14ac:dyDescent="0.2">
      <c r="A114" s="89">
        <v>27</v>
      </c>
      <c r="B114" s="45">
        <v>4212</v>
      </c>
      <c r="C114" s="2"/>
      <c r="D114" s="21" t="s">
        <v>43</v>
      </c>
      <c r="E114" s="54"/>
      <c r="F114" s="31">
        <v>0</v>
      </c>
      <c r="G114" s="30"/>
      <c r="H114" s="30"/>
      <c r="I114" s="36"/>
      <c r="J114" s="5"/>
      <c r="K114" s="5"/>
      <c r="L114" s="5"/>
      <c r="M114" s="5"/>
      <c r="N114" s="80"/>
      <c r="O114" s="80"/>
      <c r="P114" s="82">
        <f t="shared" si="2"/>
        <v>0</v>
      </c>
    </row>
    <row r="115" spans="1:19" ht="33.75" x14ac:dyDescent="0.2">
      <c r="A115" s="89"/>
      <c r="B115" s="45">
        <v>42123</v>
      </c>
      <c r="C115" s="100" t="s">
        <v>175</v>
      </c>
      <c r="D115" s="81" t="s">
        <v>166</v>
      </c>
      <c r="E115" s="96" t="s">
        <v>205</v>
      </c>
      <c r="F115" s="50"/>
      <c r="G115" s="50"/>
      <c r="H115" s="82">
        <v>133600</v>
      </c>
      <c r="I115" s="108" t="s">
        <v>122</v>
      </c>
      <c r="J115" s="5" t="s">
        <v>173</v>
      </c>
      <c r="K115" s="84" t="s">
        <v>233</v>
      </c>
      <c r="L115" s="5"/>
      <c r="M115" s="5"/>
      <c r="N115" s="80"/>
      <c r="O115" s="80"/>
      <c r="P115" s="82">
        <f>H115-F115</f>
        <v>133600</v>
      </c>
    </row>
    <row r="116" spans="1:19" ht="24" x14ac:dyDescent="0.2">
      <c r="A116" s="89"/>
      <c r="B116" s="45">
        <v>42123</v>
      </c>
      <c r="C116" s="102" t="s">
        <v>215</v>
      </c>
      <c r="D116" s="81" t="s">
        <v>176</v>
      </c>
      <c r="E116" s="107">
        <v>71332000</v>
      </c>
      <c r="F116" s="50"/>
      <c r="G116" s="50"/>
      <c r="H116" s="82">
        <v>26500</v>
      </c>
      <c r="I116" s="83" t="s">
        <v>73</v>
      </c>
      <c r="J116" s="5" t="s">
        <v>173</v>
      </c>
      <c r="K116" s="84" t="s">
        <v>182</v>
      </c>
      <c r="L116" s="5"/>
      <c r="M116" s="5"/>
      <c r="N116" s="80"/>
      <c r="O116" s="80"/>
      <c r="P116" s="82">
        <f>H116-F116</f>
        <v>26500</v>
      </c>
    </row>
    <row r="117" spans="1:19" ht="24" x14ac:dyDescent="0.2">
      <c r="A117" s="89"/>
      <c r="B117" s="45">
        <v>42123</v>
      </c>
      <c r="C117" s="102" t="s">
        <v>179</v>
      </c>
      <c r="D117" s="81" t="s">
        <v>167</v>
      </c>
      <c r="E117" s="96" t="s">
        <v>205</v>
      </c>
      <c r="F117" s="50"/>
      <c r="G117" s="50"/>
      <c r="H117" s="82">
        <v>195000</v>
      </c>
      <c r="I117" s="108" t="s">
        <v>122</v>
      </c>
      <c r="J117" s="5" t="s">
        <v>173</v>
      </c>
      <c r="K117" s="5" t="s">
        <v>169</v>
      </c>
      <c r="L117" s="85" t="s">
        <v>171</v>
      </c>
      <c r="M117" s="5" t="s">
        <v>172</v>
      </c>
      <c r="N117" s="80"/>
      <c r="O117" s="80"/>
      <c r="P117" s="82">
        <f>H117-F117</f>
        <v>195000</v>
      </c>
      <c r="R117">
        <f>160100*1.25</f>
        <v>200125</v>
      </c>
      <c r="S117" s="20">
        <f>133600+26500</f>
        <v>160100</v>
      </c>
    </row>
    <row r="118" spans="1:19" x14ac:dyDescent="0.2">
      <c r="A118" s="89">
        <v>28</v>
      </c>
      <c r="B118" s="45">
        <v>4221</v>
      </c>
      <c r="C118" s="2"/>
      <c r="D118" s="21" t="s">
        <v>139</v>
      </c>
      <c r="E118" s="54"/>
      <c r="F118" s="31">
        <f>SUM(F119:F121)</f>
        <v>10400</v>
      </c>
      <c r="G118" s="31"/>
      <c r="H118" s="31"/>
      <c r="I118" s="36"/>
      <c r="J118" s="5"/>
      <c r="K118" s="5"/>
      <c r="L118" s="5"/>
      <c r="M118" s="5"/>
      <c r="N118" s="123"/>
      <c r="O118" s="123"/>
      <c r="P118" s="82">
        <f>F118-H118</f>
        <v>10400</v>
      </c>
    </row>
    <row r="119" spans="1:19" x14ac:dyDescent="0.2">
      <c r="A119" s="89"/>
      <c r="B119" s="45"/>
      <c r="C119" s="2"/>
      <c r="D119" s="3" t="s">
        <v>138</v>
      </c>
      <c r="E119" s="54"/>
      <c r="F119" s="30">
        <v>10400</v>
      </c>
      <c r="G119" s="31">
        <f>16015/1.25</f>
        <v>12812</v>
      </c>
      <c r="H119" s="31"/>
      <c r="I119" s="36" t="s">
        <v>73</v>
      </c>
      <c r="J119" s="5"/>
      <c r="K119" s="5"/>
      <c r="L119" s="5"/>
      <c r="M119" s="5"/>
      <c r="N119" s="80"/>
      <c r="O119" s="80"/>
      <c r="P119" s="50">
        <f t="shared" ref="P119:P124" si="3">F119-H119</f>
        <v>10400</v>
      </c>
    </row>
    <row r="120" spans="1:19" x14ac:dyDescent="0.2">
      <c r="A120" s="89"/>
      <c r="B120" s="45"/>
      <c r="C120" s="2"/>
      <c r="D120" s="3" t="s">
        <v>140</v>
      </c>
      <c r="E120" s="54"/>
      <c r="F120" s="30">
        <v>0</v>
      </c>
      <c r="G120" s="30"/>
      <c r="H120" s="30"/>
      <c r="I120" s="36" t="s">
        <v>145</v>
      </c>
      <c r="J120" s="5"/>
      <c r="K120" s="5"/>
      <c r="L120" s="5"/>
      <c r="M120" s="5"/>
      <c r="N120" s="80"/>
      <c r="O120" s="80"/>
      <c r="P120" s="50">
        <f t="shared" si="3"/>
        <v>0</v>
      </c>
    </row>
    <row r="121" spans="1:19" x14ac:dyDescent="0.2">
      <c r="A121" s="89"/>
      <c r="B121" s="45"/>
      <c r="C121" s="2"/>
      <c r="D121" s="3" t="s">
        <v>141</v>
      </c>
      <c r="E121" s="54"/>
      <c r="F121" s="30">
        <v>0</v>
      </c>
      <c r="G121" s="30"/>
      <c r="H121" s="30"/>
      <c r="I121" s="36" t="s">
        <v>145</v>
      </c>
      <c r="J121" s="5"/>
      <c r="K121" s="5"/>
      <c r="L121" s="5"/>
      <c r="M121" s="5"/>
      <c r="N121" s="80"/>
      <c r="O121" s="80"/>
      <c r="P121" s="50">
        <f t="shared" si="3"/>
        <v>0</v>
      </c>
    </row>
    <row r="122" spans="1:19" x14ac:dyDescent="0.2">
      <c r="A122" s="89">
        <v>29</v>
      </c>
      <c r="B122" s="45">
        <v>4227</v>
      </c>
      <c r="C122" s="2"/>
      <c r="D122" s="21" t="s">
        <v>31</v>
      </c>
      <c r="E122" s="54"/>
      <c r="F122" s="31">
        <v>8000</v>
      </c>
      <c r="G122" s="31">
        <f>50000/1.25</f>
        <v>40000</v>
      </c>
      <c r="H122" s="31"/>
      <c r="I122" s="36" t="s">
        <v>73</v>
      </c>
      <c r="J122" s="5"/>
      <c r="K122" s="5"/>
      <c r="L122" s="5"/>
      <c r="M122" s="5"/>
      <c r="N122" s="123"/>
      <c r="O122" s="123"/>
      <c r="P122" s="82">
        <f t="shared" si="3"/>
        <v>8000</v>
      </c>
    </row>
    <row r="123" spans="1:19" x14ac:dyDescent="0.2">
      <c r="A123" s="89">
        <v>30</v>
      </c>
      <c r="B123" s="45">
        <v>4241</v>
      </c>
      <c r="C123" s="2"/>
      <c r="D123" s="21" t="s">
        <v>135</v>
      </c>
      <c r="E123" s="54"/>
      <c r="F123" s="31">
        <v>5840</v>
      </c>
      <c r="G123" s="31"/>
      <c r="H123" s="31"/>
      <c r="I123" s="36" t="s">
        <v>73</v>
      </c>
      <c r="J123" s="5"/>
      <c r="K123" s="5"/>
      <c r="L123" s="5"/>
      <c r="M123" s="5"/>
      <c r="N123" s="123"/>
      <c r="O123" s="123"/>
      <c r="P123" s="82">
        <f t="shared" si="3"/>
        <v>5840</v>
      </c>
    </row>
    <row r="124" spans="1:19" ht="33.75" x14ac:dyDescent="0.2">
      <c r="A124" s="89">
        <v>31</v>
      </c>
      <c r="B124" s="43" t="s">
        <v>136</v>
      </c>
      <c r="C124" s="2"/>
      <c r="D124" s="21" t="s">
        <v>137</v>
      </c>
      <c r="E124" s="54"/>
      <c r="F124" s="31">
        <v>224000</v>
      </c>
      <c r="G124" s="31">
        <f t="shared" ref="G124:H124" si="4">SUM(G125:G128)</f>
        <v>12812</v>
      </c>
      <c r="H124" s="82">
        <f t="shared" si="4"/>
        <v>224000</v>
      </c>
      <c r="I124" s="106" t="s">
        <v>204</v>
      </c>
      <c r="J124" s="5"/>
      <c r="K124" s="5"/>
      <c r="L124" s="5"/>
      <c r="M124" s="5"/>
      <c r="N124" s="80"/>
      <c r="O124" s="80"/>
      <c r="P124" s="82">
        <f t="shared" si="3"/>
        <v>0</v>
      </c>
    </row>
    <row r="125" spans="1:19" x14ac:dyDescent="0.2">
      <c r="A125" s="89"/>
      <c r="B125" s="45"/>
      <c r="C125" s="102" t="s">
        <v>207</v>
      </c>
      <c r="D125" s="3" t="s">
        <v>210</v>
      </c>
      <c r="E125" s="107">
        <v>22111000</v>
      </c>
      <c r="F125" s="30"/>
      <c r="G125" s="31">
        <f>16015/1.25</f>
        <v>12812</v>
      </c>
      <c r="H125" s="30">
        <v>29590.43</v>
      </c>
      <c r="I125" s="36" t="s">
        <v>73</v>
      </c>
      <c r="J125" s="5"/>
      <c r="K125" s="5"/>
      <c r="L125" s="5"/>
      <c r="M125" s="5"/>
      <c r="N125" s="104"/>
      <c r="O125" s="104"/>
      <c r="P125" s="50">
        <f t="shared" ref="P125:P127" si="5">F125-H125</f>
        <v>-29590.43</v>
      </c>
    </row>
    <row r="126" spans="1:19" x14ac:dyDescent="0.2">
      <c r="A126" s="89"/>
      <c r="B126" s="45"/>
      <c r="C126" s="102" t="s">
        <v>208</v>
      </c>
      <c r="D126" s="3" t="s">
        <v>211</v>
      </c>
      <c r="E126" s="107">
        <v>22111000</v>
      </c>
      <c r="F126" s="30"/>
      <c r="G126" s="30"/>
      <c r="H126" s="30">
        <v>27053.71</v>
      </c>
      <c r="I126" s="36" t="s">
        <v>145</v>
      </c>
      <c r="J126" s="5"/>
      <c r="K126" s="5"/>
      <c r="L126" s="5"/>
      <c r="M126" s="5"/>
      <c r="N126" s="104"/>
      <c r="O126" s="104"/>
      <c r="P126" s="50">
        <f t="shared" si="5"/>
        <v>-27053.71</v>
      </c>
    </row>
    <row r="127" spans="1:19" x14ac:dyDescent="0.2">
      <c r="A127" s="89"/>
      <c r="B127" s="45"/>
      <c r="C127" s="102" t="s">
        <v>209</v>
      </c>
      <c r="D127" s="3" t="s">
        <v>212</v>
      </c>
      <c r="E127" s="107">
        <v>22111000</v>
      </c>
      <c r="F127" s="30"/>
      <c r="G127" s="30"/>
      <c r="H127" s="30">
        <v>26756.67</v>
      </c>
      <c r="I127" s="36" t="s">
        <v>145</v>
      </c>
      <c r="J127" s="5"/>
      <c r="K127" s="5"/>
      <c r="L127" s="5"/>
      <c r="M127" s="5"/>
      <c r="N127" s="104"/>
      <c r="O127" s="104"/>
      <c r="P127" s="50">
        <f t="shared" si="5"/>
        <v>-26756.67</v>
      </c>
    </row>
    <row r="128" spans="1:19" ht="24" x14ac:dyDescent="0.2">
      <c r="A128" s="89"/>
      <c r="B128" s="45"/>
      <c r="C128" s="102"/>
      <c r="D128" s="81" t="s">
        <v>213</v>
      </c>
      <c r="E128" s="54"/>
      <c r="F128" s="30"/>
      <c r="G128" s="30"/>
      <c r="H128" s="30">
        <f>224000-H125-H126-H127</f>
        <v>140599.19</v>
      </c>
      <c r="I128" s="36" t="s">
        <v>145</v>
      </c>
      <c r="J128" s="5"/>
      <c r="K128" s="5"/>
      <c r="L128" s="5"/>
      <c r="M128" s="5"/>
      <c r="N128" s="104"/>
      <c r="O128" s="104"/>
      <c r="P128" s="50">
        <f t="shared" ref="P128" si="6">F128-H128</f>
        <v>-140599.19</v>
      </c>
    </row>
    <row r="129" spans="1:16" x14ac:dyDescent="0.2">
      <c r="A129" s="89">
        <v>32</v>
      </c>
      <c r="B129" s="45">
        <v>4511</v>
      </c>
      <c r="C129" s="2"/>
      <c r="D129" s="21" t="s">
        <v>42</v>
      </c>
      <c r="E129" s="54"/>
      <c r="F129" s="30"/>
      <c r="G129" s="30"/>
      <c r="H129" s="30"/>
      <c r="I129" s="36"/>
      <c r="J129" s="5"/>
      <c r="K129" s="5"/>
      <c r="L129" s="5"/>
      <c r="M129" s="5"/>
      <c r="N129" s="104"/>
      <c r="O129" s="104"/>
      <c r="P129" s="30"/>
    </row>
    <row r="130" spans="1:16" x14ac:dyDescent="0.2">
      <c r="A130" s="1"/>
      <c r="B130" s="45"/>
      <c r="C130" s="4"/>
      <c r="D130" s="4"/>
      <c r="E130" s="45"/>
      <c r="F130" s="30"/>
      <c r="G130" s="30"/>
      <c r="H130" s="30"/>
      <c r="I130" s="36"/>
      <c r="J130" s="5"/>
      <c r="K130" s="5"/>
      <c r="L130" s="5"/>
      <c r="M130" s="5"/>
      <c r="N130" s="124"/>
      <c r="O130" s="125"/>
      <c r="P130" s="30"/>
    </row>
    <row r="131" spans="1:16" x14ac:dyDescent="0.2">
      <c r="A131" s="4"/>
      <c r="B131" s="45"/>
      <c r="C131" s="1"/>
      <c r="D131" s="2" t="s">
        <v>32</v>
      </c>
      <c r="E131" s="54"/>
      <c r="F131" s="31">
        <f>F15+F16+F17+F25+F47+F50+F54+F62+F63+F68+F69+F85+F91+F92+F95+F98+F100+F101+F102+F103+F104+F106+F111+F113+F114+F118+F122+F123+F124</f>
        <v>996070.79</v>
      </c>
      <c r="G131" s="31"/>
      <c r="H131" s="31">
        <f>SUM(H15:H130)</f>
        <v>1098666.5279999999</v>
      </c>
      <c r="I131" s="36"/>
      <c r="J131" s="5"/>
      <c r="K131" s="5"/>
      <c r="L131" s="5"/>
      <c r="M131" s="5"/>
      <c r="N131" s="123"/>
      <c r="O131" s="123"/>
      <c r="P131" s="31">
        <f>F131+H131</f>
        <v>2094737.318</v>
      </c>
    </row>
    <row r="132" spans="1:16" ht="12.75" hidden="1" customHeight="1" x14ac:dyDescent="0.2">
      <c r="A132" s="1"/>
      <c r="B132" s="48"/>
      <c r="C132" s="12"/>
      <c r="D132" s="13"/>
      <c r="E132" s="97"/>
      <c r="F132" s="17">
        <f>SUM(F27:F131)</f>
        <v>2289803.16</v>
      </c>
      <c r="G132" s="51"/>
      <c r="H132" s="51"/>
      <c r="I132" s="37"/>
      <c r="J132" s="19"/>
      <c r="K132" s="19"/>
      <c r="L132" s="19"/>
      <c r="M132" s="14"/>
      <c r="N132" s="124"/>
      <c r="O132" s="125"/>
      <c r="P132" s="51"/>
    </row>
    <row r="133" spans="1:16" x14ac:dyDescent="0.2">
      <c r="A133" s="16"/>
      <c r="D133" s="6"/>
      <c r="M133" s="15"/>
      <c r="N133" s="123"/>
      <c r="O133" s="123"/>
    </row>
    <row r="134" spans="1:16" x14ac:dyDescent="0.2">
      <c r="A134" s="15"/>
      <c r="D134" s="6" t="s">
        <v>216</v>
      </c>
      <c r="F134" s="126" t="s">
        <v>78</v>
      </c>
      <c r="G134" s="126"/>
      <c r="H134" s="126"/>
      <c r="I134" s="126"/>
      <c r="J134" s="126"/>
      <c r="K134" s="126"/>
      <c r="L134" s="126"/>
      <c r="M134" s="127"/>
      <c r="N134" s="127"/>
      <c r="O134" s="127"/>
    </row>
    <row r="135" spans="1:16" x14ac:dyDescent="0.2">
      <c r="B135" s="122"/>
      <c r="C135" s="122"/>
      <c r="D135" s="122"/>
      <c r="E135" s="98"/>
      <c r="F135" s="126" t="s">
        <v>160</v>
      </c>
      <c r="G135" s="126"/>
      <c r="H135" s="126"/>
      <c r="I135" s="126"/>
      <c r="J135" s="126"/>
      <c r="K135" s="126"/>
      <c r="L135" s="126"/>
      <c r="M135" s="127"/>
      <c r="N135" s="127"/>
      <c r="O135" s="127"/>
    </row>
    <row r="136" spans="1:16" x14ac:dyDescent="0.2">
      <c r="B136" s="122"/>
      <c r="C136" s="122"/>
      <c r="D136" s="122"/>
      <c r="E136" s="98"/>
    </row>
    <row r="137" spans="1:16" x14ac:dyDescent="0.2">
      <c r="D137" s="7"/>
      <c r="E137" s="99"/>
      <c r="F137" s="32"/>
      <c r="G137" s="32"/>
      <c r="H137" s="32"/>
      <c r="I137" s="38"/>
      <c r="J137" s="6"/>
      <c r="K137" s="6"/>
      <c r="L137" s="6"/>
      <c r="P137" s="32"/>
    </row>
    <row r="138" spans="1:16" x14ac:dyDescent="0.2">
      <c r="A138" s="6"/>
      <c r="F138" s="72"/>
      <c r="G138" s="72"/>
      <c r="H138" s="72"/>
      <c r="I138" s="38"/>
      <c r="J138" s="6"/>
      <c r="K138" s="6"/>
      <c r="L138" s="6"/>
      <c r="P138" s="72"/>
    </row>
    <row r="139" spans="1:16" hidden="1" x14ac:dyDescent="0.2"/>
    <row r="140" spans="1:16" hidden="1" x14ac:dyDescent="0.2"/>
    <row r="155" hidden="1" x14ac:dyDescent="0.2"/>
    <row r="156" hidden="1" x14ac:dyDescent="0.2"/>
    <row r="157" hidden="1" x14ac:dyDescent="0.2"/>
  </sheetData>
  <mergeCells count="88">
    <mergeCell ref="P11:P12"/>
    <mergeCell ref="A25:A46"/>
    <mergeCell ref="N133:O133"/>
    <mergeCell ref="F134:O134"/>
    <mergeCell ref="A85:A90"/>
    <mergeCell ref="N85:O85"/>
    <mergeCell ref="B86:B90"/>
    <mergeCell ref="N86:O86"/>
    <mergeCell ref="A92:A94"/>
    <mergeCell ref="N92:O92"/>
    <mergeCell ref="B93:B94"/>
    <mergeCell ref="N62:O62"/>
    <mergeCell ref="A63:A67"/>
    <mergeCell ref="N63:O63"/>
    <mergeCell ref="B64:B67"/>
    <mergeCell ref="B135:D135"/>
    <mergeCell ref="F135:O135"/>
    <mergeCell ref="A106:A110"/>
    <mergeCell ref="A111:A112"/>
    <mergeCell ref="A95:A97"/>
    <mergeCell ref="N97:O97"/>
    <mergeCell ref="A98:A99"/>
    <mergeCell ref="N98:O98"/>
    <mergeCell ref="B136:D136"/>
    <mergeCell ref="H11:H12"/>
    <mergeCell ref="N118:O118"/>
    <mergeCell ref="N122:O122"/>
    <mergeCell ref="N123:O123"/>
    <mergeCell ref="N130:O130"/>
    <mergeCell ref="N131:O131"/>
    <mergeCell ref="N132:O132"/>
    <mergeCell ref="N100:O100"/>
    <mergeCell ref="N103:O103"/>
    <mergeCell ref="N106:O106"/>
    <mergeCell ref="B107:B110"/>
    <mergeCell ref="N111:O111"/>
    <mergeCell ref="N95:O95"/>
    <mergeCell ref="B96:B97"/>
    <mergeCell ref="N96:O96"/>
    <mergeCell ref="A69:A82"/>
    <mergeCell ref="N69:O69"/>
    <mergeCell ref="B74:B82"/>
    <mergeCell ref="N56:O56"/>
    <mergeCell ref="N40:O40"/>
    <mergeCell ref="N41:O41"/>
    <mergeCell ref="N42:O42"/>
    <mergeCell ref="N44:O44"/>
    <mergeCell ref="N45:O45"/>
    <mergeCell ref="N46:O46"/>
    <mergeCell ref="N47:O47"/>
    <mergeCell ref="N49:O49"/>
    <mergeCell ref="N51:O51"/>
    <mergeCell ref="N54:O54"/>
    <mergeCell ref="N55:O55"/>
    <mergeCell ref="N39:O39"/>
    <mergeCell ref="N13:O13"/>
    <mergeCell ref="A17:A24"/>
    <mergeCell ref="N17:O17"/>
    <mergeCell ref="B26:B49"/>
    <mergeCell ref="N27:O27"/>
    <mergeCell ref="N28:O28"/>
    <mergeCell ref="N30:O30"/>
    <mergeCell ref="N31:O31"/>
    <mergeCell ref="N32:O32"/>
    <mergeCell ref="N34:O34"/>
    <mergeCell ref="N35:O35"/>
    <mergeCell ref="N36:O36"/>
    <mergeCell ref="N37:O37"/>
    <mergeCell ref="B18:B24"/>
    <mergeCell ref="N38:O38"/>
    <mergeCell ref="N11:O12"/>
    <mergeCell ref="A11:A12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B8:M8"/>
    <mergeCell ref="A1:M1"/>
    <mergeCell ref="A2:M2"/>
    <mergeCell ref="A3:M3"/>
    <mergeCell ref="A5:D5"/>
    <mergeCell ref="A6:O7"/>
  </mergeCells>
  <pageMargins left="0.51181102362204722" right="0.51181102362204722" top="0.74803149606299213" bottom="0.74803149606299213" header="0.31496062992125984" footer="0.31496062992125984"/>
  <pageSetup paperSize="9" scale="55" orientation="portrait" r:id="rId1"/>
  <rowBreaks count="1" manualBreakCount="1">
    <brk id="98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4"/>
  <sheetViews>
    <sheetView tabSelected="1" topLeftCell="A115" workbookViewId="0">
      <selection activeCell="P138" sqref="P138"/>
    </sheetView>
  </sheetViews>
  <sheetFormatPr defaultRowHeight="12.75" x14ac:dyDescent="0.2"/>
  <cols>
    <col min="1" max="1" width="3.5703125" customWidth="1"/>
    <col min="2" max="2" width="7.5703125" style="44" customWidth="1"/>
    <col min="3" max="3" width="8.140625" customWidth="1"/>
    <col min="4" max="4" width="48.85546875" customWidth="1"/>
    <col min="5" max="5" width="11" style="44" customWidth="1"/>
    <col min="6" max="6" width="13.85546875" customWidth="1"/>
    <col min="7" max="7" width="14.5703125" hidden="1" customWidth="1"/>
    <col min="8" max="8" width="11.28515625" customWidth="1"/>
    <col min="9" max="9" width="13.140625" style="34" customWidth="1"/>
    <col min="10" max="10" width="8.5703125" customWidth="1"/>
    <col min="11" max="11" width="11.7109375" customWidth="1"/>
    <col min="12" max="12" width="9.28515625" customWidth="1"/>
    <col min="13" max="13" width="7.5703125" customWidth="1"/>
    <col min="14" max="14" width="0.42578125" hidden="1" customWidth="1"/>
    <col min="15" max="15" width="1.5703125" hidden="1" customWidth="1"/>
    <col min="16" max="16" width="11.85546875" customWidth="1"/>
    <col min="18" max="18" width="11.7109375" bestFit="1" customWidth="1"/>
    <col min="19" max="19" width="10.140625" bestFit="1" customWidth="1"/>
  </cols>
  <sheetData>
    <row r="1" spans="1:16" ht="20.25" x14ac:dyDescent="0.3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6" x14ac:dyDescent="0.2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6" x14ac:dyDescent="0.2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6" x14ac:dyDescent="0.2">
      <c r="A4" s="8" t="s">
        <v>77</v>
      </c>
      <c r="C4" s="8"/>
      <c r="D4" s="8"/>
      <c r="E4" s="92"/>
    </row>
    <row r="5" spans="1:16" x14ac:dyDescent="0.2">
      <c r="A5" s="158" t="s">
        <v>72</v>
      </c>
      <c r="B5" s="122"/>
      <c r="C5" s="122"/>
      <c r="D5" s="158"/>
      <c r="E5" s="93"/>
    </row>
    <row r="6" spans="1:16" x14ac:dyDescent="0.2">
      <c r="A6" s="159" t="s">
        <v>174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</row>
    <row r="7" spans="1:16" ht="17.25" customHeight="1" x14ac:dyDescent="0.2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</row>
    <row r="8" spans="1:16" ht="18" customHeight="1" x14ac:dyDescent="0.25">
      <c r="A8" s="6"/>
      <c r="B8" s="155" t="s">
        <v>218</v>
      </c>
      <c r="C8" s="155"/>
      <c r="D8" s="122"/>
      <c r="E8" s="122"/>
      <c r="F8" s="122"/>
      <c r="G8" s="122"/>
      <c r="H8" s="122"/>
      <c r="I8" s="122"/>
      <c r="J8" s="122"/>
      <c r="K8" s="122"/>
      <c r="L8" s="122"/>
      <c r="M8" s="122"/>
    </row>
    <row r="9" spans="1:16" ht="1.5" hidden="1" customHeight="1" x14ac:dyDescent="0.2"/>
    <row r="10" spans="1:16" ht="1.5" hidden="1" customHeight="1" x14ac:dyDescent="0.2"/>
    <row r="11" spans="1:16" ht="12.75" customHeight="1" x14ac:dyDescent="0.2">
      <c r="A11" s="148" t="s">
        <v>23</v>
      </c>
      <c r="B11" s="148" t="s">
        <v>61</v>
      </c>
      <c r="C11" s="150" t="s">
        <v>68</v>
      </c>
      <c r="D11" s="152" t="s">
        <v>0</v>
      </c>
      <c r="E11" s="164" t="s">
        <v>80</v>
      </c>
      <c r="F11" s="148" t="s">
        <v>220</v>
      </c>
      <c r="G11" s="112"/>
      <c r="H11" s="148" t="s">
        <v>228</v>
      </c>
      <c r="I11" s="148" t="s">
        <v>47</v>
      </c>
      <c r="J11" s="148" t="s">
        <v>69</v>
      </c>
      <c r="K11" s="150" t="s">
        <v>48</v>
      </c>
      <c r="L11" s="161" t="s">
        <v>49</v>
      </c>
      <c r="M11" s="162" t="s">
        <v>50</v>
      </c>
      <c r="N11" s="145"/>
      <c r="O11" s="146"/>
      <c r="P11" s="148" t="s">
        <v>183</v>
      </c>
    </row>
    <row r="12" spans="1:16" ht="54" customHeight="1" x14ac:dyDescent="0.2">
      <c r="A12" s="149"/>
      <c r="B12" s="149"/>
      <c r="C12" s="151"/>
      <c r="D12" s="153"/>
      <c r="E12" s="165"/>
      <c r="F12" s="154"/>
      <c r="G12" s="113" t="s">
        <v>147</v>
      </c>
      <c r="H12" s="154" t="s">
        <v>165</v>
      </c>
      <c r="I12" s="154"/>
      <c r="J12" s="154"/>
      <c r="K12" s="151"/>
      <c r="L12" s="151"/>
      <c r="M12" s="163"/>
      <c r="N12" s="147"/>
      <c r="O12" s="146"/>
      <c r="P12" s="154" t="s">
        <v>165</v>
      </c>
    </row>
    <row r="13" spans="1:16" x14ac:dyDescent="0.2">
      <c r="A13" s="9" t="s">
        <v>1</v>
      </c>
      <c r="B13" s="9" t="s">
        <v>2</v>
      </c>
      <c r="C13" s="9" t="s">
        <v>3</v>
      </c>
      <c r="D13" s="9" t="s">
        <v>4</v>
      </c>
      <c r="E13" s="9"/>
      <c r="F13" s="9" t="s">
        <v>9</v>
      </c>
      <c r="G13" s="9"/>
      <c r="H13" s="9"/>
      <c r="I13" s="35" t="s">
        <v>12</v>
      </c>
      <c r="J13" s="9" t="s">
        <v>14</v>
      </c>
      <c r="K13" s="9" t="s">
        <v>15</v>
      </c>
      <c r="L13" s="9" t="s">
        <v>17</v>
      </c>
      <c r="M13" s="9" t="s">
        <v>18</v>
      </c>
      <c r="N13" s="139"/>
      <c r="O13" s="139"/>
      <c r="P13" s="9"/>
    </row>
    <row r="14" spans="1:16" x14ac:dyDescent="0.2">
      <c r="A14" s="86">
        <v>1</v>
      </c>
      <c r="B14" s="9"/>
      <c r="C14" s="9"/>
      <c r="D14" s="21" t="s">
        <v>71</v>
      </c>
      <c r="E14" s="54"/>
      <c r="F14" s="9"/>
      <c r="G14" s="9"/>
      <c r="H14" s="9"/>
      <c r="I14" s="35"/>
      <c r="J14" s="9"/>
      <c r="K14" s="9"/>
      <c r="L14" s="9"/>
      <c r="M14" s="9"/>
      <c r="N14" s="111"/>
      <c r="O14" s="111"/>
      <c r="P14" s="9"/>
    </row>
    <row r="15" spans="1:16" x14ac:dyDescent="0.2">
      <c r="A15" s="86">
        <v>2</v>
      </c>
      <c r="B15" s="45">
        <v>3211</v>
      </c>
      <c r="C15" s="9"/>
      <c r="D15" s="21" t="s">
        <v>219</v>
      </c>
      <c r="E15" s="54"/>
      <c r="F15" s="31">
        <v>10000</v>
      </c>
      <c r="G15" s="30"/>
      <c r="H15" s="82">
        <v>12476</v>
      </c>
      <c r="I15" s="35" t="s">
        <v>73</v>
      </c>
      <c r="J15" s="9"/>
      <c r="K15" s="9"/>
      <c r="L15" s="9"/>
      <c r="M15" s="9"/>
      <c r="N15" s="111"/>
      <c r="O15" s="111"/>
      <c r="P15" s="82">
        <f>H15-F15</f>
        <v>2476</v>
      </c>
    </row>
    <row r="16" spans="1:16" x14ac:dyDescent="0.2">
      <c r="A16" s="86">
        <v>3</v>
      </c>
      <c r="B16" s="45">
        <v>3213</v>
      </c>
      <c r="C16" s="9"/>
      <c r="D16" s="21" t="s">
        <v>70</v>
      </c>
      <c r="E16" s="54"/>
      <c r="F16" s="31">
        <v>8320</v>
      </c>
      <c r="G16" s="31">
        <f>15000/1.25</f>
        <v>12000</v>
      </c>
      <c r="H16" s="82">
        <f>4633.6/1.25</f>
        <v>3706.88</v>
      </c>
      <c r="I16" s="35" t="s">
        <v>73</v>
      </c>
      <c r="J16" s="9"/>
      <c r="K16" s="9"/>
      <c r="L16" s="9"/>
      <c r="M16" s="9"/>
      <c r="N16" s="111"/>
      <c r="O16" s="111"/>
      <c r="P16" s="82">
        <f t="shared" ref="P16:P79" si="0">H16-F16</f>
        <v>-4613.12</v>
      </c>
    </row>
    <row r="17" spans="1:16" x14ac:dyDescent="0.2">
      <c r="A17" s="166">
        <v>4</v>
      </c>
      <c r="B17" s="45">
        <v>3221</v>
      </c>
      <c r="C17" s="9"/>
      <c r="D17" s="21" t="s">
        <v>24</v>
      </c>
      <c r="E17" s="54"/>
      <c r="F17" s="31">
        <f>SUM(F19:F24)</f>
        <v>77632.800000000003</v>
      </c>
      <c r="G17" s="31">
        <f t="shared" ref="G17:H17" si="1">SUM(G19:G24)</f>
        <v>0</v>
      </c>
      <c r="H17" s="31">
        <f t="shared" si="1"/>
        <v>71426.125238095236</v>
      </c>
      <c r="I17" s="36"/>
      <c r="J17" s="5"/>
      <c r="K17" s="5"/>
      <c r="L17" s="5"/>
      <c r="M17" s="5"/>
      <c r="N17" s="160"/>
      <c r="O17" s="160"/>
      <c r="P17" s="82">
        <f t="shared" si="0"/>
        <v>-6206.6747619047674</v>
      </c>
    </row>
    <row r="18" spans="1:16" x14ac:dyDescent="0.2">
      <c r="A18" s="167"/>
      <c r="B18" s="141"/>
      <c r="C18" s="26"/>
      <c r="D18" s="105" t="s">
        <v>184</v>
      </c>
      <c r="E18" s="3"/>
      <c r="F18" s="30"/>
      <c r="G18" s="30"/>
      <c r="H18" s="36"/>
      <c r="I18" s="5"/>
      <c r="J18" s="5"/>
      <c r="K18" s="5"/>
      <c r="L18" s="5"/>
      <c r="M18" s="5"/>
      <c r="N18" s="109"/>
      <c r="P18" s="50">
        <f t="shared" si="0"/>
        <v>0</v>
      </c>
    </row>
    <row r="19" spans="1:16" x14ac:dyDescent="0.2">
      <c r="A19" s="167"/>
      <c r="B19" s="142"/>
      <c r="C19" s="33"/>
      <c r="D19" s="3" t="s">
        <v>81</v>
      </c>
      <c r="E19" s="45" t="s">
        <v>185</v>
      </c>
      <c r="F19" s="30">
        <v>4000</v>
      </c>
      <c r="G19" s="30"/>
      <c r="H19" s="36">
        <f>1264.3/1.05+1101.66/1.05</f>
        <v>2253.2952380952383</v>
      </c>
      <c r="I19" s="36" t="s">
        <v>73</v>
      </c>
      <c r="J19" s="5"/>
      <c r="K19" s="5"/>
      <c r="L19" s="5"/>
      <c r="M19" s="5"/>
      <c r="N19" s="109"/>
      <c r="P19" s="50">
        <f t="shared" si="0"/>
        <v>-1746.7047619047617</v>
      </c>
    </row>
    <row r="20" spans="1:16" x14ac:dyDescent="0.2">
      <c r="A20" s="167"/>
      <c r="B20" s="142"/>
      <c r="C20" s="33"/>
      <c r="D20" s="3" t="s">
        <v>82</v>
      </c>
      <c r="E20" s="45" t="s">
        <v>186</v>
      </c>
      <c r="F20" s="30">
        <v>12000</v>
      </c>
      <c r="G20" s="30"/>
      <c r="H20" s="36">
        <f>11643.2/1.25</f>
        <v>9314.5600000000013</v>
      </c>
      <c r="I20" s="36" t="s">
        <v>73</v>
      </c>
      <c r="J20" s="5"/>
      <c r="K20" s="5"/>
      <c r="L20" s="5"/>
      <c r="M20" s="5"/>
      <c r="N20" s="109"/>
      <c r="P20" s="50">
        <f t="shared" si="0"/>
        <v>-2685.4399999999987</v>
      </c>
    </row>
    <row r="21" spans="1:16" x14ac:dyDescent="0.2">
      <c r="A21" s="167"/>
      <c r="B21" s="142"/>
      <c r="C21" s="33"/>
      <c r="D21" s="3" t="s">
        <v>187</v>
      </c>
      <c r="E21" s="45" t="s">
        <v>188</v>
      </c>
      <c r="F21" s="30">
        <v>15000</v>
      </c>
      <c r="G21" s="30"/>
      <c r="H21" s="36">
        <v>15000</v>
      </c>
      <c r="I21" s="36" t="s">
        <v>73</v>
      </c>
      <c r="J21" s="5"/>
      <c r="K21" s="5"/>
      <c r="L21" s="5"/>
      <c r="M21" s="5"/>
      <c r="N21" s="109"/>
      <c r="P21" s="50">
        <f t="shared" si="0"/>
        <v>0</v>
      </c>
    </row>
    <row r="22" spans="1:16" x14ac:dyDescent="0.2">
      <c r="A22" s="167"/>
      <c r="B22" s="142"/>
      <c r="C22" s="33"/>
      <c r="D22" s="3" t="s">
        <v>189</v>
      </c>
      <c r="E22" s="45" t="s">
        <v>190</v>
      </c>
      <c r="F22" s="30">
        <v>17000</v>
      </c>
      <c r="G22" s="30"/>
      <c r="H22" s="36">
        <f>11054.29/1.25</f>
        <v>8843.4320000000007</v>
      </c>
      <c r="I22" s="36" t="s">
        <v>73</v>
      </c>
      <c r="J22" s="5"/>
      <c r="K22" s="5"/>
      <c r="L22" s="5"/>
      <c r="M22" s="5"/>
      <c r="N22" s="109"/>
      <c r="P22" s="50">
        <f t="shared" si="0"/>
        <v>-8156.5679999999993</v>
      </c>
    </row>
    <row r="23" spans="1:16" x14ac:dyDescent="0.2">
      <c r="A23" s="167"/>
      <c r="B23" s="142"/>
      <c r="C23" s="33"/>
      <c r="D23" s="3" t="s">
        <v>191</v>
      </c>
      <c r="E23" s="45" t="s">
        <v>192</v>
      </c>
      <c r="F23" s="30">
        <v>10000</v>
      </c>
      <c r="G23" s="30"/>
      <c r="H23" s="36">
        <v>25668.23</v>
      </c>
      <c r="I23" s="36" t="s">
        <v>73</v>
      </c>
      <c r="J23" s="5"/>
      <c r="K23" s="5"/>
      <c r="L23" s="5"/>
      <c r="M23" s="5"/>
      <c r="N23" s="109"/>
      <c r="P23" s="50">
        <f t="shared" si="0"/>
        <v>15668.23</v>
      </c>
    </row>
    <row r="24" spans="1:16" x14ac:dyDescent="0.2">
      <c r="A24" s="167"/>
      <c r="B24" s="142"/>
      <c r="C24" s="33"/>
      <c r="D24" s="3" t="s">
        <v>83</v>
      </c>
      <c r="E24" s="45" t="s">
        <v>193</v>
      </c>
      <c r="F24" s="30">
        <v>19632.8</v>
      </c>
      <c r="G24" s="30"/>
      <c r="H24" s="36">
        <f>994.44/1.25+11938.82/1.25</f>
        <v>10346.608</v>
      </c>
      <c r="I24" s="36" t="s">
        <v>73</v>
      </c>
      <c r="J24" s="5"/>
      <c r="K24" s="5"/>
      <c r="L24" s="5"/>
      <c r="M24" s="5"/>
      <c r="N24" s="109"/>
      <c r="P24" s="50">
        <f t="shared" si="0"/>
        <v>-9286.1919999999991</v>
      </c>
    </row>
    <row r="25" spans="1:16" x14ac:dyDescent="0.2">
      <c r="A25" s="166">
        <v>5</v>
      </c>
      <c r="B25" s="117">
        <v>3222</v>
      </c>
      <c r="C25" s="9"/>
      <c r="D25" s="21" t="s">
        <v>62</v>
      </c>
      <c r="E25" s="54"/>
      <c r="F25" s="31">
        <f>F26+F33+F34+F35+F36+F37+F39+F45+F38</f>
        <v>298000</v>
      </c>
      <c r="G25" s="31">
        <f t="shared" ref="G25:H25" si="2">G26+G33+G34+G35+G36+G37+G39+G45+G38</f>
        <v>0</v>
      </c>
      <c r="H25" s="31">
        <f t="shared" si="2"/>
        <v>315098.97701863351</v>
      </c>
      <c r="I25" s="36"/>
      <c r="J25" s="5"/>
      <c r="K25" s="5"/>
      <c r="L25" s="5"/>
      <c r="M25" s="5"/>
      <c r="N25" s="109"/>
      <c r="O25" s="109"/>
      <c r="P25" s="82">
        <f t="shared" si="0"/>
        <v>17098.977018633508</v>
      </c>
    </row>
    <row r="26" spans="1:16" x14ac:dyDescent="0.2">
      <c r="A26" s="167"/>
      <c r="B26" s="130"/>
      <c r="C26" s="28"/>
      <c r="D26" s="21" t="s">
        <v>84</v>
      </c>
      <c r="E26" s="45"/>
      <c r="F26" s="52">
        <f>SUM(F27:F32)</f>
        <v>100000</v>
      </c>
      <c r="G26" s="52">
        <f t="shared" ref="G26:H26" si="3">SUM(G27:G32)</f>
        <v>0</v>
      </c>
      <c r="H26" s="52">
        <f t="shared" si="3"/>
        <v>88000</v>
      </c>
      <c r="I26" s="36"/>
      <c r="J26" s="5"/>
      <c r="K26" s="5"/>
      <c r="L26" s="5"/>
      <c r="M26" s="5"/>
      <c r="N26" s="109"/>
      <c r="O26" s="109"/>
      <c r="P26" s="82">
        <f t="shared" si="0"/>
        <v>-12000</v>
      </c>
    </row>
    <row r="27" spans="1:16" x14ac:dyDescent="0.2">
      <c r="A27" s="167"/>
      <c r="B27" s="131"/>
      <c r="C27" s="33"/>
      <c r="D27" s="3" t="s">
        <v>86</v>
      </c>
      <c r="E27" s="45" t="s">
        <v>85</v>
      </c>
      <c r="F27" s="30">
        <v>13000</v>
      </c>
      <c r="G27" s="30"/>
      <c r="H27" s="30">
        <v>18000</v>
      </c>
      <c r="I27" s="36" t="s">
        <v>73</v>
      </c>
      <c r="J27" s="5"/>
      <c r="K27" s="5"/>
      <c r="L27" s="5"/>
      <c r="M27" s="5"/>
      <c r="N27" s="136"/>
      <c r="O27" s="136"/>
      <c r="P27" s="50">
        <f t="shared" si="0"/>
        <v>5000</v>
      </c>
    </row>
    <row r="28" spans="1:16" x14ac:dyDescent="0.2">
      <c r="A28" s="167"/>
      <c r="B28" s="131"/>
      <c r="C28" s="33"/>
      <c r="D28" s="3" t="s">
        <v>87</v>
      </c>
      <c r="E28" s="45" t="s">
        <v>90</v>
      </c>
      <c r="F28" s="30">
        <v>19000</v>
      </c>
      <c r="G28" s="30"/>
      <c r="H28" s="30">
        <v>15000</v>
      </c>
      <c r="I28" s="36" t="s">
        <v>73</v>
      </c>
      <c r="J28" s="5"/>
      <c r="K28" s="5"/>
      <c r="L28" s="5"/>
      <c r="M28" s="5"/>
      <c r="N28" s="136"/>
      <c r="O28" s="136"/>
      <c r="P28" s="50">
        <f t="shared" si="0"/>
        <v>-4000</v>
      </c>
    </row>
    <row r="29" spans="1:16" x14ac:dyDescent="0.2">
      <c r="A29" s="167"/>
      <c r="B29" s="131"/>
      <c r="C29" s="33"/>
      <c r="D29" s="3" t="s">
        <v>98</v>
      </c>
      <c r="E29" s="45" t="s">
        <v>194</v>
      </c>
      <c r="F29" s="30">
        <v>18000</v>
      </c>
      <c r="G29" s="30"/>
      <c r="H29" s="30">
        <v>15000</v>
      </c>
      <c r="I29" s="36" t="s">
        <v>73</v>
      </c>
      <c r="J29" s="5"/>
      <c r="K29" s="5"/>
      <c r="L29" s="5"/>
      <c r="M29" s="5"/>
      <c r="N29" s="109"/>
      <c r="O29" s="109"/>
      <c r="P29" s="50">
        <f t="shared" si="0"/>
        <v>-3000</v>
      </c>
    </row>
    <row r="30" spans="1:16" x14ac:dyDescent="0.2">
      <c r="A30" s="167"/>
      <c r="B30" s="131"/>
      <c r="C30" s="33"/>
      <c r="D30" s="3" t="s">
        <v>88</v>
      </c>
      <c r="E30" s="45" t="s">
        <v>91</v>
      </c>
      <c r="F30" s="30">
        <v>17000</v>
      </c>
      <c r="G30" s="30"/>
      <c r="H30" s="30">
        <v>15000</v>
      </c>
      <c r="I30" s="36" t="s">
        <v>73</v>
      </c>
      <c r="J30" s="5"/>
      <c r="K30" s="5"/>
      <c r="L30" s="5"/>
      <c r="M30" s="5"/>
      <c r="N30" s="136"/>
      <c r="O30" s="136"/>
      <c r="P30" s="50">
        <f t="shared" si="0"/>
        <v>-2000</v>
      </c>
    </row>
    <row r="31" spans="1:16" x14ac:dyDescent="0.2">
      <c r="A31" s="167"/>
      <c r="B31" s="131"/>
      <c r="C31" s="33"/>
      <c r="D31" s="3" t="s">
        <v>158</v>
      </c>
      <c r="E31" s="45" t="s">
        <v>91</v>
      </c>
      <c r="F31" s="30">
        <v>15000</v>
      </c>
      <c r="G31" s="30"/>
      <c r="H31" s="30">
        <v>18000</v>
      </c>
      <c r="I31" s="36" t="s">
        <v>73</v>
      </c>
      <c r="J31" s="5"/>
      <c r="K31" s="5"/>
      <c r="L31" s="5"/>
      <c r="M31" s="5"/>
      <c r="N31" s="138"/>
      <c r="O31" s="139"/>
      <c r="P31" s="50">
        <f t="shared" si="0"/>
        <v>3000</v>
      </c>
    </row>
    <row r="32" spans="1:16" x14ac:dyDescent="0.2">
      <c r="A32" s="167"/>
      <c r="B32" s="131"/>
      <c r="C32" s="33"/>
      <c r="D32" s="3" t="s">
        <v>89</v>
      </c>
      <c r="E32" s="45" t="s">
        <v>195</v>
      </c>
      <c r="F32" s="30">
        <v>18000</v>
      </c>
      <c r="G32" s="30"/>
      <c r="H32" s="30">
        <v>7000</v>
      </c>
      <c r="I32" s="36" t="s">
        <v>73</v>
      </c>
      <c r="J32" s="5"/>
      <c r="K32" s="5"/>
      <c r="L32" s="5"/>
      <c r="M32" s="5"/>
      <c r="N32" s="136"/>
      <c r="O32" s="136"/>
      <c r="P32" s="50">
        <f t="shared" si="0"/>
        <v>-11000</v>
      </c>
    </row>
    <row r="33" spans="1:16" x14ac:dyDescent="0.2">
      <c r="A33" s="167"/>
      <c r="B33" s="131"/>
      <c r="C33" s="33"/>
      <c r="D33" s="21" t="s">
        <v>96</v>
      </c>
      <c r="E33" s="45" t="s">
        <v>196</v>
      </c>
      <c r="F33" s="52">
        <v>19000</v>
      </c>
      <c r="G33" s="31"/>
      <c r="H33" s="31">
        <f>19000/1.25</f>
        <v>15200</v>
      </c>
      <c r="I33" s="36" t="s">
        <v>73</v>
      </c>
      <c r="J33" s="5"/>
      <c r="K33" s="5"/>
      <c r="L33" s="5"/>
      <c r="M33" s="5"/>
      <c r="N33" s="109"/>
      <c r="O33" s="109"/>
      <c r="P33" s="82">
        <f t="shared" si="0"/>
        <v>-3800</v>
      </c>
    </row>
    <row r="34" spans="1:16" x14ac:dyDescent="0.2">
      <c r="A34" s="167"/>
      <c r="B34" s="131"/>
      <c r="C34" s="33"/>
      <c r="D34" s="21" t="s">
        <v>92</v>
      </c>
      <c r="E34" s="45" t="s">
        <v>197</v>
      </c>
      <c r="F34" s="52">
        <v>18000</v>
      </c>
      <c r="G34" s="31"/>
      <c r="H34" s="31">
        <f>26518.94/1.05</f>
        <v>25256.133333333331</v>
      </c>
      <c r="I34" s="36" t="s">
        <v>73</v>
      </c>
      <c r="J34" s="5"/>
      <c r="K34" s="5"/>
      <c r="L34" s="5"/>
      <c r="M34" s="5"/>
      <c r="N34" s="136"/>
      <c r="O34" s="136"/>
      <c r="P34" s="82">
        <f t="shared" si="0"/>
        <v>7256.1333333333314</v>
      </c>
    </row>
    <row r="35" spans="1:16" x14ac:dyDescent="0.2">
      <c r="A35" s="167"/>
      <c r="B35" s="131"/>
      <c r="C35" s="33"/>
      <c r="D35" s="21" t="s">
        <v>93</v>
      </c>
      <c r="E35" s="45" t="s">
        <v>198</v>
      </c>
      <c r="F35" s="52">
        <v>17000</v>
      </c>
      <c r="G35" s="31"/>
      <c r="H35" s="31">
        <f>8274.37/1.05</f>
        <v>7880.3523809523813</v>
      </c>
      <c r="I35" s="36" t="s">
        <v>73</v>
      </c>
      <c r="J35" s="5"/>
      <c r="K35" s="5"/>
      <c r="L35" s="5"/>
      <c r="M35" s="5"/>
      <c r="N35" s="140"/>
      <c r="O35" s="136"/>
      <c r="P35" s="82">
        <f t="shared" si="0"/>
        <v>-9119.6476190476187</v>
      </c>
    </row>
    <row r="36" spans="1:16" x14ac:dyDescent="0.2">
      <c r="A36" s="167"/>
      <c r="B36" s="131"/>
      <c r="C36" s="33"/>
      <c r="D36" s="21" t="s">
        <v>94</v>
      </c>
      <c r="E36" s="45" t="s">
        <v>199</v>
      </c>
      <c r="F36" s="52">
        <v>20000</v>
      </c>
      <c r="G36" s="31"/>
      <c r="H36" s="31">
        <f>13525.27/1.25</f>
        <v>10820.216</v>
      </c>
      <c r="I36" s="36" t="s">
        <v>73</v>
      </c>
      <c r="J36" s="5"/>
      <c r="K36" s="5"/>
      <c r="L36" s="5"/>
      <c r="M36" s="5"/>
      <c r="N36" s="136"/>
      <c r="O36" s="136"/>
      <c r="P36" s="82">
        <f t="shared" si="0"/>
        <v>-9179.7839999999997</v>
      </c>
    </row>
    <row r="37" spans="1:16" ht="29.25" customHeight="1" x14ac:dyDescent="0.2">
      <c r="A37" s="167"/>
      <c r="B37" s="131"/>
      <c r="C37" s="33"/>
      <c r="D37" s="39" t="s">
        <v>95</v>
      </c>
      <c r="E37" s="45" t="s">
        <v>97</v>
      </c>
      <c r="F37" s="53">
        <v>20000</v>
      </c>
      <c r="G37" s="18"/>
      <c r="H37" s="17">
        <f>28485.48/1.2</f>
        <v>23737.9</v>
      </c>
      <c r="I37" s="40" t="s">
        <v>73</v>
      </c>
      <c r="J37" s="5"/>
      <c r="K37" s="5"/>
      <c r="L37" s="5"/>
      <c r="M37" s="5"/>
      <c r="N37" s="136"/>
      <c r="O37" s="136"/>
      <c r="P37" s="82">
        <f t="shared" si="0"/>
        <v>3737.9000000000015</v>
      </c>
    </row>
    <row r="38" spans="1:16" ht="29.25" customHeight="1" x14ac:dyDescent="0.2">
      <c r="A38" s="167"/>
      <c r="B38" s="131"/>
      <c r="C38" s="33"/>
      <c r="D38" s="39" t="s">
        <v>200</v>
      </c>
      <c r="E38" s="45" t="s">
        <v>201</v>
      </c>
      <c r="F38" s="53">
        <v>19000</v>
      </c>
      <c r="G38" s="18"/>
      <c r="H38" s="17">
        <f>93239.23/1.25</f>
        <v>74591.383999999991</v>
      </c>
      <c r="I38" s="40" t="s">
        <v>73</v>
      </c>
      <c r="J38" s="5"/>
      <c r="K38" s="5"/>
      <c r="L38" s="5"/>
      <c r="M38" s="5"/>
      <c r="N38" s="136"/>
      <c r="O38" s="136"/>
      <c r="P38" s="82">
        <f t="shared" si="0"/>
        <v>55591.383999999991</v>
      </c>
    </row>
    <row r="39" spans="1:16" x14ac:dyDescent="0.2">
      <c r="A39" s="167"/>
      <c r="B39" s="131"/>
      <c r="C39" s="33"/>
      <c r="D39" s="21" t="s">
        <v>109</v>
      </c>
      <c r="E39" s="94"/>
      <c r="F39" s="53">
        <f>SUM(F40:F44)</f>
        <v>30000</v>
      </c>
      <c r="G39" s="53">
        <f t="shared" ref="G39:H39" si="4">SUM(G40:G44)</f>
        <v>0</v>
      </c>
      <c r="H39" s="53">
        <f t="shared" si="4"/>
        <v>28000</v>
      </c>
      <c r="I39" s="36"/>
      <c r="J39" s="5"/>
      <c r="K39" s="5"/>
      <c r="L39" s="5"/>
      <c r="M39" s="5"/>
      <c r="N39" s="136"/>
      <c r="O39" s="136"/>
      <c r="P39" s="82">
        <f t="shared" si="0"/>
        <v>-2000</v>
      </c>
    </row>
    <row r="40" spans="1:16" x14ac:dyDescent="0.2">
      <c r="A40" s="167"/>
      <c r="B40" s="131"/>
      <c r="C40" s="33"/>
      <c r="D40" s="3" t="s">
        <v>99</v>
      </c>
      <c r="E40" s="18" t="s">
        <v>104</v>
      </c>
      <c r="F40" s="18">
        <v>12000</v>
      </c>
      <c r="G40" s="18"/>
      <c r="H40" s="18">
        <v>10000</v>
      </c>
      <c r="I40" s="36" t="s">
        <v>73</v>
      </c>
      <c r="J40" s="5"/>
      <c r="K40" s="5"/>
      <c r="L40" s="5"/>
      <c r="M40" s="5"/>
      <c r="N40" s="136"/>
      <c r="O40" s="136"/>
      <c r="P40" s="50">
        <f t="shared" si="0"/>
        <v>-2000</v>
      </c>
    </row>
    <row r="41" spans="1:16" x14ac:dyDescent="0.2">
      <c r="A41" s="167"/>
      <c r="B41" s="131"/>
      <c r="C41" s="33"/>
      <c r="D41" s="3" t="s">
        <v>100</v>
      </c>
      <c r="E41" s="18" t="s">
        <v>105</v>
      </c>
      <c r="F41" s="18">
        <v>5000</v>
      </c>
      <c r="G41" s="18"/>
      <c r="H41" s="18">
        <v>5000</v>
      </c>
      <c r="I41" s="36" t="s">
        <v>73</v>
      </c>
      <c r="J41" s="5"/>
      <c r="K41" s="5"/>
      <c r="L41" s="5"/>
      <c r="M41" s="5"/>
      <c r="N41" s="136"/>
      <c r="O41" s="136"/>
      <c r="P41" s="50">
        <f t="shared" si="0"/>
        <v>0</v>
      </c>
    </row>
    <row r="42" spans="1:16" x14ac:dyDescent="0.2">
      <c r="A42" s="167"/>
      <c r="B42" s="131"/>
      <c r="C42" s="33"/>
      <c r="D42" s="3" t="s">
        <v>101</v>
      </c>
      <c r="E42" s="18" t="s">
        <v>106</v>
      </c>
      <c r="F42" s="18">
        <v>3000</v>
      </c>
      <c r="G42" s="18"/>
      <c r="H42" s="18">
        <v>3000</v>
      </c>
      <c r="I42" s="36" t="s">
        <v>73</v>
      </c>
      <c r="J42" s="5"/>
      <c r="K42" s="5"/>
      <c r="L42" s="5"/>
      <c r="M42" s="5"/>
      <c r="N42" s="136"/>
      <c r="O42" s="136"/>
      <c r="P42" s="50">
        <f t="shared" si="0"/>
        <v>0</v>
      </c>
    </row>
    <row r="43" spans="1:16" x14ac:dyDescent="0.2">
      <c r="A43" s="167"/>
      <c r="B43" s="131"/>
      <c r="C43" s="33"/>
      <c r="D43" s="3" t="s">
        <v>102</v>
      </c>
      <c r="E43" s="18" t="s">
        <v>107</v>
      </c>
      <c r="F43" s="18">
        <v>5000</v>
      </c>
      <c r="G43" s="18"/>
      <c r="H43" s="18">
        <v>5000</v>
      </c>
      <c r="I43" s="36" t="s">
        <v>73</v>
      </c>
      <c r="J43" s="5"/>
      <c r="K43" s="5"/>
      <c r="L43" s="5"/>
      <c r="M43" s="5"/>
      <c r="N43" s="109"/>
      <c r="O43" s="109"/>
      <c r="P43" s="50">
        <f t="shared" si="0"/>
        <v>0</v>
      </c>
    </row>
    <row r="44" spans="1:16" x14ac:dyDescent="0.2">
      <c r="A44" s="167"/>
      <c r="B44" s="131"/>
      <c r="C44" s="33"/>
      <c r="D44" s="3" t="s">
        <v>103</v>
      </c>
      <c r="E44" s="18" t="s">
        <v>108</v>
      </c>
      <c r="F44" s="18">
        <v>5000</v>
      </c>
      <c r="G44" s="18"/>
      <c r="H44" s="18">
        <v>5000</v>
      </c>
      <c r="I44" s="36" t="s">
        <v>73</v>
      </c>
      <c r="J44" s="5"/>
      <c r="K44" s="5"/>
      <c r="L44" s="5"/>
      <c r="M44" s="5"/>
      <c r="N44" s="136"/>
      <c r="O44" s="136"/>
      <c r="P44" s="50">
        <f t="shared" si="0"/>
        <v>0</v>
      </c>
    </row>
    <row r="45" spans="1:16" ht="22.5" x14ac:dyDescent="0.2">
      <c r="A45" s="167"/>
      <c r="B45" s="131"/>
      <c r="C45" s="121"/>
      <c r="D45" s="21" t="s">
        <v>110</v>
      </c>
      <c r="E45" s="45" t="s">
        <v>111</v>
      </c>
      <c r="F45" s="53">
        <v>55000</v>
      </c>
      <c r="G45" s="17"/>
      <c r="H45" s="17">
        <f>47854.94/1.15</f>
        <v>41612.99130434783</v>
      </c>
      <c r="I45" s="40" t="s">
        <v>144</v>
      </c>
      <c r="J45" s="5"/>
      <c r="K45" s="5"/>
      <c r="L45" s="5"/>
      <c r="M45" s="5"/>
      <c r="N45" s="136"/>
      <c r="O45" s="136"/>
      <c r="P45" s="82">
        <f t="shared" si="0"/>
        <v>-13387.00869565217</v>
      </c>
    </row>
    <row r="46" spans="1:16" x14ac:dyDescent="0.2">
      <c r="A46" s="167"/>
      <c r="B46" s="131"/>
      <c r="C46" s="33"/>
      <c r="D46" s="3"/>
      <c r="E46" s="45"/>
      <c r="F46" s="18"/>
      <c r="G46" s="18"/>
      <c r="H46" s="18"/>
      <c r="I46" s="36"/>
      <c r="J46" s="5"/>
      <c r="K46" s="5"/>
      <c r="L46" s="5"/>
      <c r="M46" s="5"/>
      <c r="N46" s="136"/>
      <c r="O46" s="136"/>
      <c r="P46" s="82">
        <f t="shared" si="0"/>
        <v>0</v>
      </c>
    </row>
    <row r="47" spans="1:16" x14ac:dyDescent="0.2">
      <c r="A47" s="87">
        <v>6</v>
      </c>
      <c r="B47" s="131"/>
      <c r="C47" s="9"/>
      <c r="D47" s="21" t="s">
        <v>113</v>
      </c>
      <c r="E47" s="45"/>
      <c r="F47" s="17">
        <f>SUM(F48:F49)</f>
        <v>100000</v>
      </c>
      <c r="G47" s="17">
        <f t="shared" ref="G47:H47" si="5">SUM(G48:G49)</f>
        <v>0</v>
      </c>
      <c r="H47" s="17">
        <f t="shared" si="5"/>
        <v>112105.58541930045</v>
      </c>
      <c r="I47" s="36"/>
      <c r="J47" s="5"/>
      <c r="K47" s="5"/>
      <c r="L47" s="5"/>
      <c r="M47" s="5"/>
      <c r="N47" s="136"/>
      <c r="O47" s="136"/>
      <c r="P47" s="82">
        <f t="shared" si="0"/>
        <v>12105.585419300449</v>
      </c>
    </row>
    <row r="48" spans="1:16" ht="56.25" x14ac:dyDescent="0.2">
      <c r="A48" s="87"/>
      <c r="B48" s="131"/>
      <c r="C48" s="33"/>
      <c r="D48" s="3" t="s">
        <v>112</v>
      </c>
      <c r="E48" s="45" t="s">
        <v>114</v>
      </c>
      <c r="F48" s="18">
        <v>42000</v>
      </c>
      <c r="G48" s="18"/>
      <c r="H48" s="18">
        <f>56268.99/1.13+5000</f>
        <v>54795.566371681416</v>
      </c>
      <c r="I48" s="40" t="s">
        <v>116</v>
      </c>
      <c r="J48" s="5"/>
      <c r="K48" s="40" t="s">
        <v>117</v>
      </c>
      <c r="L48" s="5"/>
      <c r="M48" s="5" t="s">
        <v>143</v>
      </c>
      <c r="N48" s="109"/>
      <c r="O48" s="109"/>
      <c r="P48" s="82">
        <f t="shared" si="0"/>
        <v>12795.566371681416</v>
      </c>
    </row>
    <row r="49" spans="1:16" ht="56.25" x14ac:dyDescent="0.2">
      <c r="A49" s="87"/>
      <c r="B49" s="131"/>
      <c r="C49" s="33"/>
      <c r="D49" s="3" t="s">
        <v>25</v>
      </c>
      <c r="E49" s="45" t="s">
        <v>115</v>
      </c>
      <c r="F49" s="18">
        <v>58000</v>
      </c>
      <c r="G49" s="18"/>
      <c r="H49" s="18">
        <f>53875.52/1.05+6000</f>
        <v>57310.01904761904</v>
      </c>
      <c r="I49" s="40" t="s">
        <v>116</v>
      </c>
      <c r="J49" s="5"/>
      <c r="K49" s="40" t="s">
        <v>117</v>
      </c>
      <c r="L49" s="5"/>
      <c r="M49" s="5" t="s">
        <v>143</v>
      </c>
      <c r="N49" s="136"/>
      <c r="O49" s="136"/>
      <c r="P49" s="82">
        <f t="shared" si="0"/>
        <v>-689.98095238095993</v>
      </c>
    </row>
    <row r="50" spans="1:16" x14ac:dyDescent="0.2">
      <c r="A50" s="88">
        <v>7</v>
      </c>
      <c r="B50" s="115"/>
      <c r="C50" s="33"/>
      <c r="D50" s="21" t="s">
        <v>121</v>
      </c>
      <c r="E50" s="45" t="s">
        <v>120</v>
      </c>
      <c r="F50" s="17">
        <f>SUM(F51:F52)</f>
        <v>16800</v>
      </c>
      <c r="G50" s="17">
        <f t="shared" ref="G50:H50" si="6">SUM(G51:G52)</f>
        <v>0</v>
      </c>
      <c r="H50" s="17">
        <f t="shared" si="6"/>
        <v>14984.687999999998</v>
      </c>
      <c r="I50" s="40"/>
      <c r="J50" s="5"/>
      <c r="K50" s="40"/>
      <c r="L50" s="5"/>
      <c r="M50" s="5"/>
      <c r="N50" s="109"/>
      <c r="O50" s="109"/>
      <c r="P50" s="82">
        <f t="shared" si="0"/>
        <v>-1815.3120000000017</v>
      </c>
    </row>
    <row r="51" spans="1:16" x14ac:dyDescent="0.2">
      <c r="A51" s="89"/>
      <c r="B51" s="45">
        <v>3224</v>
      </c>
      <c r="C51" s="2"/>
      <c r="D51" s="3" t="s">
        <v>118</v>
      </c>
      <c r="E51" s="54"/>
      <c r="F51" s="30">
        <v>8000</v>
      </c>
      <c r="G51" s="30"/>
      <c r="H51" s="30">
        <f>8809.46/1.25</f>
        <v>7047.5679999999993</v>
      </c>
      <c r="I51" s="36" t="s">
        <v>73</v>
      </c>
      <c r="J51" s="5"/>
      <c r="K51" s="5"/>
      <c r="L51" s="5"/>
      <c r="M51" s="5"/>
      <c r="N51" s="123"/>
      <c r="O51" s="123"/>
      <c r="P51" s="50">
        <f t="shared" si="0"/>
        <v>-952.4320000000007</v>
      </c>
    </row>
    <row r="52" spans="1:16" x14ac:dyDescent="0.2">
      <c r="A52" s="89"/>
      <c r="B52" s="45"/>
      <c r="C52" s="1"/>
      <c r="D52" s="3" t="s">
        <v>119</v>
      </c>
      <c r="F52" s="30">
        <v>8800</v>
      </c>
      <c r="G52" s="30"/>
      <c r="H52" s="30">
        <f>9921.4/1.25</f>
        <v>7937.12</v>
      </c>
      <c r="I52" s="36" t="s">
        <v>73</v>
      </c>
      <c r="J52" s="5"/>
      <c r="K52" s="5"/>
      <c r="L52" s="5"/>
      <c r="M52" s="5"/>
      <c r="N52" s="116"/>
      <c r="O52" s="116"/>
      <c r="P52" s="50">
        <f t="shared" si="0"/>
        <v>-862.88000000000011</v>
      </c>
    </row>
    <row r="53" spans="1:16" x14ac:dyDescent="0.2">
      <c r="A53" s="89"/>
      <c r="B53" s="45"/>
      <c r="C53" s="1"/>
      <c r="D53" s="3"/>
      <c r="E53" s="45"/>
      <c r="F53" s="30"/>
      <c r="G53" s="30"/>
      <c r="H53" s="30"/>
      <c r="I53" s="36"/>
      <c r="J53" s="5"/>
      <c r="K53" s="5"/>
      <c r="L53" s="5"/>
      <c r="M53" s="5"/>
      <c r="N53" s="116"/>
      <c r="O53" s="116"/>
      <c r="P53" s="50">
        <f t="shared" si="0"/>
        <v>0</v>
      </c>
    </row>
    <row r="54" spans="1:16" x14ac:dyDescent="0.2">
      <c r="A54" s="89">
        <v>8</v>
      </c>
      <c r="B54" s="45">
        <v>3225</v>
      </c>
      <c r="C54" s="2"/>
      <c r="D54" s="21" t="s">
        <v>5</v>
      </c>
      <c r="E54" s="54"/>
      <c r="F54" s="31">
        <f>SUM(F57:F61)</f>
        <v>8960</v>
      </c>
      <c r="G54" s="31">
        <f t="shared" ref="G54:H54" si="7">SUM(G57:G61)</f>
        <v>0</v>
      </c>
      <c r="H54" s="31">
        <f t="shared" si="7"/>
        <v>24272.935999999998</v>
      </c>
      <c r="I54" s="36"/>
      <c r="J54" s="5"/>
      <c r="K54" s="5"/>
      <c r="L54" s="5"/>
      <c r="M54" s="5"/>
      <c r="N54" s="123"/>
      <c r="O54" s="123"/>
      <c r="P54" s="82">
        <f t="shared" si="0"/>
        <v>15312.935999999998</v>
      </c>
    </row>
    <row r="55" spans="1:16" ht="12.75" hidden="1" customHeight="1" x14ac:dyDescent="0.2">
      <c r="A55" s="89" t="s">
        <v>40</v>
      </c>
      <c r="B55" s="45"/>
      <c r="C55" s="1"/>
      <c r="D55" s="3"/>
      <c r="E55" s="45"/>
      <c r="F55" s="30"/>
      <c r="G55" s="30"/>
      <c r="H55" s="30"/>
      <c r="I55" s="36"/>
      <c r="J55" s="5"/>
      <c r="K55" s="5"/>
      <c r="L55" s="5"/>
      <c r="M55" s="5"/>
      <c r="N55" s="123"/>
      <c r="O55" s="123"/>
      <c r="P55" s="82">
        <f t="shared" si="0"/>
        <v>0</v>
      </c>
    </row>
    <row r="56" spans="1:16" ht="12.75" hidden="1" customHeight="1" x14ac:dyDescent="0.2">
      <c r="A56" s="89" t="s">
        <v>41</v>
      </c>
      <c r="B56" s="45">
        <v>3227</v>
      </c>
      <c r="C56" s="1"/>
      <c r="D56" s="3" t="s">
        <v>26</v>
      </c>
      <c r="E56" s="45"/>
      <c r="F56" s="30"/>
      <c r="G56" s="30"/>
      <c r="H56" s="30"/>
      <c r="I56" s="36"/>
      <c r="J56" s="5"/>
      <c r="K56" s="5"/>
      <c r="L56" s="5"/>
      <c r="M56" s="5"/>
      <c r="N56" s="123"/>
      <c r="O56" s="123"/>
      <c r="P56" s="82">
        <f t="shared" si="0"/>
        <v>0</v>
      </c>
    </row>
    <row r="57" spans="1:16" ht="12.75" customHeight="1" x14ac:dyDescent="0.2">
      <c r="A57" s="89"/>
      <c r="B57" s="45"/>
      <c r="C57" s="1"/>
      <c r="D57" s="3" t="s">
        <v>148</v>
      </c>
      <c r="E57" s="45"/>
      <c r="F57" s="30">
        <v>1500</v>
      </c>
      <c r="G57" s="30"/>
      <c r="H57" s="30"/>
      <c r="I57" s="36" t="s">
        <v>73</v>
      </c>
      <c r="J57" s="5"/>
      <c r="K57" s="5"/>
      <c r="L57" s="5"/>
      <c r="M57" s="5"/>
      <c r="N57" s="116"/>
      <c r="O57" s="116"/>
      <c r="P57" s="50">
        <f t="shared" si="0"/>
        <v>-1500</v>
      </c>
    </row>
    <row r="58" spans="1:16" ht="12.75" customHeight="1" x14ac:dyDescent="0.2">
      <c r="A58" s="89"/>
      <c r="B58" s="45"/>
      <c r="C58" s="1"/>
      <c r="D58" s="3" t="s">
        <v>149</v>
      </c>
      <c r="E58" s="45"/>
      <c r="F58" s="30">
        <v>500</v>
      </c>
      <c r="G58" s="30"/>
      <c r="H58" s="30"/>
      <c r="I58" s="36" t="s">
        <v>73</v>
      </c>
      <c r="J58" s="5"/>
      <c r="K58" s="5"/>
      <c r="L58" s="5"/>
      <c r="M58" s="5"/>
      <c r="N58" s="116"/>
      <c r="O58" s="116"/>
      <c r="P58" s="50">
        <f t="shared" si="0"/>
        <v>-500</v>
      </c>
    </row>
    <row r="59" spans="1:16" ht="12.75" customHeight="1" x14ac:dyDescent="0.2">
      <c r="A59" s="89"/>
      <c r="B59" s="45"/>
      <c r="C59" s="1"/>
      <c r="D59" s="3" t="s">
        <v>150</v>
      </c>
      <c r="E59" s="45"/>
      <c r="F59" s="30">
        <v>960</v>
      </c>
      <c r="G59" s="30"/>
      <c r="H59" s="30">
        <f>28341.17/1.25</f>
        <v>22672.935999999998</v>
      </c>
      <c r="I59" s="36" t="s">
        <v>73</v>
      </c>
      <c r="J59" s="5"/>
      <c r="K59" s="5"/>
      <c r="L59" s="5"/>
      <c r="M59" s="5"/>
      <c r="N59" s="116"/>
      <c r="O59" s="116"/>
      <c r="P59" s="50">
        <f t="shared" si="0"/>
        <v>21712.935999999998</v>
      </c>
    </row>
    <row r="60" spans="1:16" ht="12.75" customHeight="1" x14ac:dyDescent="0.2">
      <c r="A60" s="89"/>
      <c r="B60" s="45"/>
      <c r="C60" s="1"/>
      <c r="D60" s="3" t="s">
        <v>151</v>
      </c>
      <c r="E60" s="45"/>
      <c r="F60" s="30">
        <v>1000</v>
      </c>
      <c r="G60" s="30"/>
      <c r="H60" s="30"/>
      <c r="I60" s="36" t="s">
        <v>73</v>
      </c>
      <c r="J60" s="5"/>
      <c r="K60" s="5"/>
      <c r="L60" s="5"/>
      <c r="M60" s="5"/>
      <c r="N60" s="116"/>
      <c r="O60" s="116"/>
      <c r="P60" s="50">
        <f t="shared" si="0"/>
        <v>-1000</v>
      </c>
    </row>
    <row r="61" spans="1:16" ht="12.75" customHeight="1" x14ac:dyDescent="0.2">
      <c r="A61" s="89"/>
      <c r="B61" s="45"/>
      <c r="C61" s="1"/>
      <c r="D61" s="3" t="s">
        <v>152</v>
      </c>
      <c r="E61" s="45"/>
      <c r="F61" s="30">
        <v>5000</v>
      </c>
      <c r="G61" s="30"/>
      <c r="H61" s="30">
        <f>2000/1.25</f>
        <v>1600</v>
      </c>
      <c r="I61" s="36" t="s">
        <v>73</v>
      </c>
      <c r="J61" s="5"/>
      <c r="K61" s="5"/>
      <c r="L61" s="5"/>
      <c r="M61" s="5"/>
      <c r="N61" s="116"/>
      <c r="O61" s="116"/>
      <c r="P61" s="50">
        <f t="shared" si="0"/>
        <v>-3400</v>
      </c>
    </row>
    <row r="62" spans="1:16" x14ac:dyDescent="0.2">
      <c r="A62" s="89">
        <v>9</v>
      </c>
      <c r="B62" s="45">
        <v>3227</v>
      </c>
      <c r="C62" s="2"/>
      <c r="D62" s="21" t="s">
        <v>26</v>
      </c>
      <c r="E62" s="54"/>
      <c r="F62" s="31">
        <v>2156</v>
      </c>
      <c r="G62" s="31">
        <f>2695/1.25</f>
        <v>2156</v>
      </c>
      <c r="H62" s="31">
        <f>1656.9/1.25</f>
        <v>1325.52</v>
      </c>
      <c r="I62" s="36" t="s">
        <v>73</v>
      </c>
      <c r="J62" s="5"/>
      <c r="K62" s="5"/>
      <c r="L62" s="5"/>
      <c r="M62" s="5"/>
      <c r="N62" s="123"/>
      <c r="O62" s="123"/>
      <c r="P62" s="50">
        <f t="shared" si="0"/>
        <v>-830.48</v>
      </c>
    </row>
    <row r="63" spans="1:16" x14ac:dyDescent="0.2">
      <c r="A63" s="166">
        <v>10</v>
      </c>
      <c r="B63" s="45">
        <v>3231</v>
      </c>
      <c r="C63" s="2"/>
      <c r="D63" s="21" t="s">
        <v>27</v>
      </c>
      <c r="E63" s="54"/>
      <c r="F63" s="31">
        <f>SUM(F64:F66)</f>
        <v>35600</v>
      </c>
      <c r="G63" s="31">
        <f>13333/1.25+38000/1.25</f>
        <v>41066.400000000001</v>
      </c>
      <c r="H63" s="31"/>
      <c r="I63" s="36"/>
      <c r="J63" s="5"/>
      <c r="K63" s="5"/>
      <c r="L63" s="5"/>
      <c r="M63" s="5"/>
      <c r="N63" s="123"/>
      <c r="O63" s="123"/>
      <c r="P63" s="82">
        <f t="shared" si="0"/>
        <v>-35600</v>
      </c>
    </row>
    <row r="64" spans="1:16" ht="22.5" x14ac:dyDescent="0.2">
      <c r="A64" s="167"/>
      <c r="B64" s="130"/>
      <c r="C64" s="101"/>
      <c r="D64" s="3" t="s">
        <v>221</v>
      </c>
      <c r="E64" s="120">
        <v>60000000</v>
      </c>
      <c r="F64" s="30">
        <v>24420</v>
      </c>
      <c r="G64" s="30"/>
      <c r="H64" s="30">
        <f>82085/1.25+7225/1.25+1692.5/1.25</f>
        <v>72802</v>
      </c>
      <c r="I64" s="40" t="s">
        <v>122</v>
      </c>
      <c r="J64" s="5"/>
      <c r="K64" s="5"/>
      <c r="L64" s="5"/>
      <c r="M64" s="5"/>
      <c r="N64" s="116"/>
      <c r="O64" s="116"/>
      <c r="P64" s="50">
        <f t="shared" si="0"/>
        <v>48382</v>
      </c>
    </row>
    <row r="65" spans="1:16" x14ac:dyDescent="0.2">
      <c r="A65" s="167"/>
      <c r="B65" s="131"/>
      <c r="C65" s="33"/>
      <c r="D65" s="3" t="s">
        <v>64</v>
      </c>
      <c r="E65" s="45"/>
      <c r="F65" s="30">
        <v>3500</v>
      </c>
      <c r="G65" s="30"/>
      <c r="H65" s="30">
        <v>5743.43</v>
      </c>
      <c r="I65" s="36" t="s">
        <v>73</v>
      </c>
      <c r="J65" s="5"/>
      <c r="K65" s="5"/>
      <c r="L65" s="5"/>
      <c r="M65" s="5"/>
      <c r="N65" s="116"/>
      <c r="O65" s="116"/>
      <c r="P65" s="50">
        <f t="shared" si="0"/>
        <v>2243.4300000000003</v>
      </c>
    </row>
    <row r="66" spans="1:16" x14ac:dyDescent="0.2">
      <c r="A66" s="167"/>
      <c r="B66" s="131"/>
      <c r="C66" s="33"/>
      <c r="D66" s="3" t="s">
        <v>63</v>
      </c>
      <c r="E66" s="45"/>
      <c r="F66" s="30">
        <v>7680</v>
      </c>
      <c r="G66" s="30"/>
      <c r="H66" s="30">
        <f>8438.95/1.25+250/1.25</f>
        <v>6951.1600000000008</v>
      </c>
      <c r="I66" s="36" t="s">
        <v>73</v>
      </c>
      <c r="J66" s="5"/>
      <c r="K66" s="5"/>
      <c r="L66" s="5"/>
      <c r="M66" s="5"/>
      <c r="N66" s="116"/>
      <c r="O66" s="116"/>
      <c r="P66" s="50">
        <f t="shared" si="0"/>
        <v>-728.83999999999924</v>
      </c>
    </row>
    <row r="67" spans="1:16" x14ac:dyDescent="0.2">
      <c r="A67" s="168"/>
      <c r="B67" s="135"/>
      <c r="C67" s="27"/>
      <c r="D67" s="3"/>
      <c r="E67" s="45"/>
      <c r="F67" s="30"/>
      <c r="G67" s="30"/>
      <c r="H67" s="30"/>
      <c r="I67" s="36"/>
      <c r="J67" s="5"/>
      <c r="K67" s="5"/>
      <c r="L67" s="5"/>
      <c r="M67" s="5"/>
      <c r="N67" s="116"/>
      <c r="O67" s="116"/>
      <c r="P67" s="50">
        <f t="shared" si="0"/>
        <v>0</v>
      </c>
    </row>
    <row r="68" spans="1:16" x14ac:dyDescent="0.2">
      <c r="A68" s="118">
        <v>11</v>
      </c>
      <c r="B68" s="117">
        <v>3233</v>
      </c>
      <c r="C68" s="27"/>
      <c r="D68" s="21" t="s">
        <v>153</v>
      </c>
      <c r="E68" s="45"/>
      <c r="F68" s="31">
        <v>400</v>
      </c>
      <c r="G68" s="31">
        <f>1500/1.25</f>
        <v>1200</v>
      </c>
      <c r="H68" s="31">
        <v>0</v>
      </c>
      <c r="I68" s="36" t="s">
        <v>73</v>
      </c>
      <c r="J68" s="5"/>
      <c r="K68" s="5"/>
      <c r="L68" s="5"/>
      <c r="M68" s="5"/>
      <c r="N68" s="116"/>
      <c r="O68" s="116"/>
      <c r="P68" s="82">
        <f t="shared" si="0"/>
        <v>-400</v>
      </c>
    </row>
    <row r="69" spans="1:16" x14ac:dyDescent="0.2">
      <c r="A69" s="166">
        <v>12</v>
      </c>
      <c r="B69" s="45">
        <v>3232</v>
      </c>
      <c r="C69" s="2"/>
      <c r="D69" s="21" t="s">
        <v>7</v>
      </c>
      <c r="E69" s="54"/>
      <c r="F69" s="31">
        <f>SUM(F70:F73)</f>
        <v>350178.92000000004</v>
      </c>
      <c r="G69" s="31">
        <f t="shared" ref="G69:H69" si="8">SUM(G70:G73)</f>
        <v>0</v>
      </c>
      <c r="H69" s="31">
        <f t="shared" si="8"/>
        <v>336788.87</v>
      </c>
      <c r="I69" s="36"/>
      <c r="J69" s="5"/>
      <c r="K69" s="5"/>
      <c r="L69" s="5"/>
      <c r="M69" s="5"/>
      <c r="N69" s="123"/>
      <c r="O69" s="123"/>
      <c r="P69" s="82">
        <f t="shared" si="0"/>
        <v>-13390.050000000047</v>
      </c>
    </row>
    <row r="70" spans="1:16" hidden="1" x14ac:dyDescent="0.2">
      <c r="A70" s="167"/>
      <c r="B70" s="46"/>
      <c r="C70" s="42"/>
      <c r="D70" s="56"/>
      <c r="E70" s="95"/>
      <c r="F70" s="58"/>
      <c r="G70" s="50"/>
      <c r="H70" s="50"/>
      <c r="I70" s="36"/>
      <c r="J70" s="5"/>
      <c r="K70" s="5"/>
      <c r="L70" s="5"/>
      <c r="M70" s="5"/>
      <c r="N70" s="116"/>
      <c r="O70" s="116"/>
      <c r="P70" s="82">
        <f t="shared" si="0"/>
        <v>0</v>
      </c>
    </row>
    <row r="71" spans="1:16" hidden="1" x14ac:dyDescent="0.2">
      <c r="A71" s="167"/>
      <c r="B71" s="46"/>
      <c r="C71" s="42"/>
      <c r="D71" s="56"/>
      <c r="E71" s="95"/>
      <c r="F71" s="58"/>
      <c r="G71" s="50"/>
      <c r="H71" s="50"/>
      <c r="I71" s="36"/>
      <c r="J71" s="5"/>
      <c r="K71" s="5"/>
      <c r="L71" s="5"/>
      <c r="M71" s="5"/>
      <c r="N71" s="116"/>
      <c r="O71" s="116"/>
      <c r="P71" s="82">
        <f t="shared" si="0"/>
        <v>0</v>
      </c>
    </row>
    <row r="72" spans="1:16" hidden="1" x14ac:dyDescent="0.2">
      <c r="A72" s="167"/>
      <c r="B72" s="46"/>
      <c r="C72" s="42"/>
      <c r="D72" s="56"/>
      <c r="E72" s="95"/>
      <c r="F72" s="58"/>
      <c r="G72" s="50"/>
      <c r="H72" s="50"/>
      <c r="I72" s="36"/>
      <c r="J72" s="5"/>
      <c r="K72" s="5"/>
      <c r="L72" s="5"/>
      <c r="M72" s="5"/>
      <c r="N72" s="116"/>
      <c r="O72" s="116"/>
      <c r="P72" s="82">
        <f t="shared" si="0"/>
        <v>0</v>
      </c>
    </row>
    <row r="73" spans="1:16" x14ac:dyDescent="0.2">
      <c r="A73" s="167"/>
      <c r="B73" s="46"/>
      <c r="C73" s="42"/>
      <c r="D73" s="55" t="s">
        <v>123</v>
      </c>
      <c r="E73" s="54"/>
      <c r="F73" s="52">
        <f>SUM(F74:F84)</f>
        <v>350178.92000000004</v>
      </c>
      <c r="G73" s="52">
        <f t="shared" ref="G73:H73" si="9">SUM(G74:G84)</f>
        <v>0</v>
      </c>
      <c r="H73" s="52">
        <f t="shared" si="9"/>
        <v>336788.87</v>
      </c>
      <c r="I73" s="36"/>
      <c r="J73" s="5"/>
      <c r="K73" s="5"/>
      <c r="L73" s="5"/>
      <c r="M73" s="5"/>
      <c r="N73" s="116"/>
      <c r="O73" s="116"/>
      <c r="P73" s="82">
        <f t="shared" si="0"/>
        <v>-13390.050000000047</v>
      </c>
    </row>
    <row r="74" spans="1:16" x14ac:dyDescent="0.2">
      <c r="A74" s="167"/>
      <c r="B74" s="130"/>
      <c r="C74" s="26"/>
      <c r="D74" s="3" t="s">
        <v>159</v>
      </c>
      <c r="E74" s="45"/>
      <c r="F74" s="30">
        <v>2000</v>
      </c>
      <c r="G74" s="30"/>
      <c r="H74" s="30">
        <v>2500</v>
      </c>
      <c r="I74" s="36" t="s">
        <v>73</v>
      </c>
      <c r="J74" s="5"/>
      <c r="K74" s="11"/>
      <c r="L74" s="11"/>
      <c r="M74" s="11"/>
      <c r="N74" s="116"/>
      <c r="O74" s="116"/>
      <c r="P74" s="50">
        <f t="shared" si="0"/>
        <v>500</v>
      </c>
    </row>
    <row r="75" spans="1:16" x14ac:dyDescent="0.2">
      <c r="A75" s="167"/>
      <c r="B75" s="131"/>
      <c r="C75" s="33"/>
      <c r="D75" s="3" t="s">
        <v>51</v>
      </c>
      <c r="E75" s="45"/>
      <c r="F75" s="30">
        <v>6000</v>
      </c>
      <c r="G75" s="30"/>
      <c r="H75" s="30">
        <v>1500</v>
      </c>
      <c r="I75" s="36" t="s">
        <v>73</v>
      </c>
      <c r="J75" s="5"/>
      <c r="K75" s="5"/>
      <c r="L75" s="5"/>
      <c r="M75" s="5"/>
      <c r="N75" s="116"/>
      <c r="O75" s="116"/>
      <c r="P75" s="50">
        <f t="shared" si="0"/>
        <v>-4500</v>
      </c>
    </row>
    <row r="76" spans="1:16" x14ac:dyDescent="0.2">
      <c r="A76" s="167"/>
      <c r="B76" s="131"/>
      <c r="C76" s="33"/>
      <c r="D76" s="3" t="s">
        <v>52</v>
      </c>
      <c r="E76" s="45"/>
      <c r="F76" s="30">
        <v>7000</v>
      </c>
      <c r="G76" s="30"/>
      <c r="H76" s="30">
        <v>6500</v>
      </c>
      <c r="I76" s="36" t="s">
        <v>73</v>
      </c>
      <c r="J76" s="5"/>
      <c r="K76" s="5"/>
      <c r="L76" s="5"/>
      <c r="M76" s="5"/>
      <c r="N76" s="116"/>
      <c r="O76" s="116"/>
      <c r="P76" s="50">
        <f t="shared" si="0"/>
        <v>-500</v>
      </c>
    </row>
    <row r="77" spans="1:16" x14ac:dyDescent="0.2">
      <c r="A77" s="167"/>
      <c r="B77" s="131"/>
      <c r="C77" s="33"/>
      <c r="D77" s="3" t="s">
        <v>53</v>
      </c>
      <c r="E77" s="45"/>
      <c r="F77" s="30">
        <v>5000</v>
      </c>
      <c r="G77" s="30"/>
      <c r="H77" s="30">
        <v>3000</v>
      </c>
      <c r="I77" s="36" t="s">
        <v>73</v>
      </c>
      <c r="J77" s="5"/>
      <c r="K77" s="5"/>
      <c r="L77" s="5"/>
      <c r="M77" s="5"/>
      <c r="N77" s="116"/>
      <c r="O77" s="116"/>
      <c r="P77" s="50">
        <f t="shared" si="0"/>
        <v>-2000</v>
      </c>
    </row>
    <row r="78" spans="1:16" x14ac:dyDescent="0.2">
      <c r="A78" s="167"/>
      <c r="B78" s="131"/>
      <c r="C78" s="33"/>
      <c r="D78" s="3" t="s">
        <v>54</v>
      </c>
      <c r="E78" s="45"/>
      <c r="F78" s="30">
        <v>2500</v>
      </c>
      <c r="G78" s="30"/>
      <c r="H78" s="30">
        <v>0</v>
      </c>
      <c r="I78" s="36" t="s">
        <v>73</v>
      </c>
      <c r="J78" s="5"/>
      <c r="K78" s="5"/>
      <c r="L78" s="5"/>
      <c r="M78" s="5"/>
      <c r="N78" s="116"/>
      <c r="O78" s="116"/>
      <c r="P78" s="50">
        <f t="shared" si="0"/>
        <v>-2500</v>
      </c>
    </row>
    <row r="79" spans="1:16" x14ac:dyDescent="0.2">
      <c r="A79" s="167"/>
      <c r="B79" s="131"/>
      <c r="C79" s="33"/>
      <c r="D79" s="3" t="s">
        <v>124</v>
      </c>
      <c r="E79" s="45"/>
      <c r="F79" s="30">
        <v>15000</v>
      </c>
      <c r="G79" s="30"/>
      <c r="H79" s="30">
        <v>2500</v>
      </c>
      <c r="I79" s="36" t="s">
        <v>73</v>
      </c>
      <c r="J79" s="5"/>
      <c r="K79" s="5"/>
      <c r="L79" s="5"/>
      <c r="M79" s="5"/>
      <c r="N79" s="116"/>
      <c r="O79" s="116"/>
      <c r="P79" s="50">
        <f t="shared" si="0"/>
        <v>-12500</v>
      </c>
    </row>
    <row r="80" spans="1:16" x14ac:dyDescent="0.2">
      <c r="A80" s="167"/>
      <c r="B80" s="131"/>
      <c r="C80" s="33"/>
      <c r="D80" s="3" t="s">
        <v>59</v>
      </c>
      <c r="E80" s="45"/>
      <c r="F80" s="30">
        <v>8000</v>
      </c>
      <c r="G80" s="30"/>
      <c r="H80" s="30">
        <v>5000</v>
      </c>
      <c r="I80" s="36" t="s">
        <v>73</v>
      </c>
      <c r="J80" s="5"/>
      <c r="K80" s="5"/>
      <c r="L80" s="5"/>
      <c r="M80" s="5"/>
      <c r="N80" s="116"/>
      <c r="O80" s="116"/>
      <c r="P80" s="50">
        <f t="shared" ref="P80:P137" si="10">H80-F80</f>
        <v>-3000</v>
      </c>
    </row>
    <row r="81" spans="1:18" x14ac:dyDescent="0.2">
      <c r="A81" s="167"/>
      <c r="B81" s="131"/>
      <c r="C81" s="33"/>
      <c r="D81" s="3" t="s">
        <v>65</v>
      </c>
      <c r="E81" s="45"/>
      <c r="F81" s="30">
        <v>5000</v>
      </c>
      <c r="G81" s="30"/>
      <c r="H81" s="30">
        <v>2500</v>
      </c>
      <c r="I81" s="36" t="s">
        <v>73</v>
      </c>
      <c r="J81" s="5"/>
      <c r="K81" s="5"/>
      <c r="L81" s="5"/>
      <c r="M81" s="5"/>
      <c r="N81" s="116"/>
      <c r="O81" s="116"/>
      <c r="P81" s="50">
        <f t="shared" si="10"/>
        <v>-2500</v>
      </c>
    </row>
    <row r="82" spans="1:18" x14ac:dyDescent="0.2">
      <c r="A82" s="168"/>
      <c r="B82" s="135"/>
      <c r="C82" s="27"/>
      <c r="D82" s="3" t="s">
        <v>75</v>
      </c>
      <c r="E82" s="45"/>
      <c r="F82" s="30">
        <v>4112.3900000000003</v>
      </c>
      <c r="G82" s="30"/>
      <c r="H82" s="30">
        <f>336788.87-319066.53</f>
        <v>17722.339999999967</v>
      </c>
      <c r="I82" s="36" t="s">
        <v>73</v>
      </c>
      <c r="J82" s="5"/>
      <c r="K82" s="5"/>
      <c r="L82" s="5"/>
      <c r="M82" s="5"/>
      <c r="N82" s="116"/>
      <c r="O82" s="116"/>
      <c r="P82" s="50">
        <f t="shared" si="10"/>
        <v>13609.949999999968</v>
      </c>
    </row>
    <row r="83" spans="1:18" ht="22.5" x14ac:dyDescent="0.2">
      <c r="A83" s="118"/>
      <c r="B83" s="117"/>
      <c r="C83" s="101" t="s">
        <v>178</v>
      </c>
      <c r="D83" s="3" t="s">
        <v>168</v>
      </c>
      <c r="E83" s="107" t="s">
        <v>206</v>
      </c>
      <c r="F83" s="50">
        <v>271041.53000000003</v>
      </c>
      <c r="G83" s="30"/>
      <c r="H83" s="82">
        <v>271041.53000000003</v>
      </c>
      <c r="I83" s="40" t="s">
        <v>122</v>
      </c>
      <c r="J83" s="5" t="s">
        <v>173</v>
      </c>
      <c r="K83" s="5" t="s">
        <v>169</v>
      </c>
      <c r="L83" s="5"/>
      <c r="M83" s="5"/>
      <c r="N83" s="116"/>
      <c r="O83" s="116"/>
      <c r="P83" s="50">
        <f t="shared" si="10"/>
        <v>0</v>
      </c>
    </row>
    <row r="84" spans="1:18" x14ac:dyDescent="0.2">
      <c r="A84" s="118"/>
      <c r="B84" s="117"/>
      <c r="C84" s="101"/>
      <c r="D84" s="3" t="s">
        <v>181</v>
      </c>
      <c r="E84" s="107">
        <v>71247000</v>
      </c>
      <c r="F84" s="50">
        <v>24525</v>
      </c>
      <c r="G84" s="30"/>
      <c r="H84" s="82">
        <v>24525</v>
      </c>
      <c r="I84" s="36" t="s">
        <v>73</v>
      </c>
      <c r="J84" s="5" t="s">
        <v>173</v>
      </c>
      <c r="K84" s="5" t="s">
        <v>182</v>
      </c>
      <c r="L84" s="5"/>
      <c r="M84" s="5"/>
      <c r="N84" s="116"/>
      <c r="O84" s="116"/>
      <c r="P84" s="50">
        <f t="shared" si="10"/>
        <v>0</v>
      </c>
      <c r="R84" s="20"/>
    </row>
    <row r="85" spans="1:18" x14ac:dyDescent="0.2">
      <c r="A85" s="166">
        <v>13</v>
      </c>
      <c r="B85" s="45">
        <v>3234</v>
      </c>
      <c r="C85" s="1"/>
      <c r="D85" s="21" t="s">
        <v>11</v>
      </c>
      <c r="E85" s="54"/>
      <c r="F85" s="31">
        <f>SUM(F86:F90)</f>
        <v>26400</v>
      </c>
      <c r="G85" s="31">
        <f t="shared" ref="G85:H85" si="11">SUM(G86:G90)</f>
        <v>0</v>
      </c>
      <c r="H85" s="31">
        <f t="shared" si="11"/>
        <v>24503.135999999999</v>
      </c>
      <c r="I85" s="36"/>
      <c r="J85" s="5"/>
      <c r="K85" s="5"/>
      <c r="L85" s="5"/>
      <c r="M85" s="5"/>
      <c r="N85" s="123"/>
      <c r="O85" s="123"/>
      <c r="P85" s="82">
        <f t="shared" si="10"/>
        <v>-1896.8640000000014</v>
      </c>
    </row>
    <row r="86" spans="1:18" x14ac:dyDescent="0.2">
      <c r="A86" s="167"/>
      <c r="B86" s="130"/>
      <c r="C86" s="26"/>
      <c r="D86" s="3" t="s">
        <v>125</v>
      </c>
      <c r="E86" s="45"/>
      <c r="F86" s="30">
        <v>12000</v>
      </c>
      <c r="G86" s="30"/>
      <c r="H86" s="30">
        <f>12499/1.25</f>
        <v>9999.2000000000007</v>
      </c>
      <c r="I86" s="36" t="s">
        <v>73</v>
      </c>
      <c r="J86" s="5"/>
      <c r="K86" s="5"/>
      <c r="L86" s="5"/>
      <c r="M86" s="5"/>
      <c r="N86" s="123"/>
      <c r="O86" s="123"/>
      <c r="P86" s="50">
        <f t="shared" si="10"/>
        <v>-2000.7999999999993</v>
      </c>
    </row>
    <row r="87" spans="1:18" x14ac:dyDescent="0.2">
      <c r="A87" s="167"/>
      <c r="B87" s="131"/>
      <c r="C87" s="33"/>
      <c r="D87" s="3" t="s">
        <v>55</v>
      </c>
      <c r="E87" s="45"/>
      <c r="F87" s="30">
        <v>7500</v>
      </c>
      <c r="G87" s="30"/>
      <c r="H87" s="30">
        <f>10674.62/1.25</f>
        <v>8539.6959999999999</v>
      </c>
      <c r="I87" s="36" t="s">
        <v>73</v>
      </c>
      <c r="J87" s="5"/>
      <c r="K87" s="5"/>
      <c r="L87" s="5"/>
      <c r="M87" s="5"/>
      <c r="N87" s="116"/>
      <c r="O87" s="116"/>
      <c r="P87" s="50">
        <f t="shared" si="10"/>
        <v>1039.6959999999999</v>
      </c>
    </row>
    <row r="88" spans="1:18" x14ac:dyDescent="0.2">
      <c r="A88" s="167"/>
      <c r="B88" s="131"/>
      <c r="C88" s="33"/>
      <c r="D88" s="3" t="s">
        <v>56</v>
      </c>
      <c r="E88" s="45"/>
      <c r="F88" s="30">
        <v>600</v>
      </c>
      <c r="G88" s="30"/>
      <c r="H88" s="30">
        <f>847.5/1.25</f>
        <v>678</v>
      </c>
      <c r="I88" s="36" t="s">
        <v>73</v>
      </c>
      <c r="J88" s="5"/>
      <c r="K88" s="5"/>
      <c r="L88" s="5"/>
      <c r="M88" s="5"/>
      <c r="N88" s="116"/>
      <c r="O88" s="116"/>
      <c r="P88" s="50">
        <f t="shared" si="10"/>
        <v>78</v>
      </c>
    </row>
    <row r="89" spans="1:18" x14ac:dyDescent="0.2">
      <c r="A89" s="167"/>
      <c r="B89" s="131"/>
      <c r="C89" s="33"/>
      <c r="D89" s="3" t="s">
        <v>57</v>
      </c>
      <c r="E89" s="45"/>
      <c r="F89" s="30">
        <v>3500</v>
      </c>
      <c r="G89" s="30"/>
      <c r="H89" s="30">
        <f>450/1.25</f>
        <v>360</v>
      </c>
      <c r="I89" s="36" t="s">
        <v>73</v>
      </c>
      <c r="J89" s="5"/>
      <c r="K89" s="5"/>
      <c r="L89" s="5"/>
      <c r="M89" s="5"/>
      <c r="N89" s="116"/>
      <c r="O89" s="116"/>
      <c r="P89" s="50">
        <f t="shared" si="10"/>
        <v>-3140</v>
      </c>
    </row>
    <row r="90" spans="1:18" x14ac:dyDescent="0.2">
      <c r="A90" s="168"/>
      <c r="B90" s="135"/>
      <c r="C90" s="27"/>
      <c r="D90" s="3" t="s">
        <v>126</v>
      </c>
      <c r="E90" s="45"/>
      <c r="F90" s="30">
        <v>2800</v>
      </c>
      <c r="G90" s="30"/>
      <c r="H90" s="30">
        <f>6157.8/1.25</f>
        <v>4926.24</v>
      </c>
      <c r="I90" s="36" t="s">
        <v>73</v>
      </c>
      <c r="J90" s="5"/>
      <c r="K90" s="5"/>
      <c r="L90" s="5"/>
      <c r="M90" s="5"/>
      <c r="N90" s="116"/>
      <c r="O90" s="116"/>
      <c r="P90" s="50">
        <f t="shared" si="10"/>
        <v>2126.2399999999998</v>
      </c>
    </row>
    <row r="91" spans="1:18" x14ac:dyDescent="0.2">
      <c r="A91" s="89">
        <v>14</v>
      </c>
      <c r="B91" s="45">
        <v>3235</v>
      </c>
      <c r="C91" s="2"/>
      <c r="D91" s="21" t="s">
        <v>44</v>
      </c>
      <c r="E91" s="54"/>
      <c r="F91" s="31">
        <v>2240</v>
      </c>
      <c r="G91" s="31">
        <f>800/1.25</f>
        <v>640</v>
      </c>
      <c r="H91" s="31">
        <f>7382.69/1.25</f>
        <v>5906.152</v>
      </c>
      <c r="I91" s="36" t="s">
        <v>73</v>
      </c>
      <c r="J91" s="5"/>
      <c r="K91" s="5"/>
      <c r="L91" s="5"/>
      <c r="M91" s="5"/>
      <c r="N91" s="116"/>
      <c r="O91" s="116"/>
      <c r="P91" s="82">
        <f t="shared" si="10"/>
        <v>3666.152</v>
      </c>
    </row>
    <row r="92" spans="1:18" x14ac:dyDescent="0.2">
      <c r="A92" s="166">
        <v>15</v>
      </c>
      <c r="B92" s="45">
        <v>3236</v>
      </c>
      <c r="C92" s="2"/>
      <c r="D92" s="21" t="s">
        <v>21</v>
      </c>
      <c r="E92" s="54"/>
      <c r="F92" s="31">
        <f>SUM(F93:F94)</f>
        <v>12000</v>
      </c>
      <c r="G92" s="31">
        <f t="shared" ref="G92:H92" si="12">SUM(G93:G94)</f>
        <v>0</v>
      </c>
      <c r="H92" s="31">
        <f t="shared" si="12"/>
        <v>23360.527999999998</v>
      </c>
      <c r="I92" s="36"/>
      <c r="J92" s="5"/>
      <c r="K92" s="5"/>
      <c r="L92" s="5"/>
      <c r="M92" s="5"/>
      <c r="N92" s="123"/>
      <c r="O92" s="123"/>
      <c r="P92" s="82">
        <f t="shared" si="10"/>
        <v>11360.527999999998</v>
      </c>
    </row>
    <row r="93" spans="1:18" x14ac:dyDescent="0.2">
      <c r="A93" s="167"/>
      <c r="B93" s="130"/>
      <c r="C93" s="28"/>
      <c r="D93" s="3" t="s">
        <v>67</v>
      </c>
      <c r="E93" s="45"/>
      <c r="F93" s="30">
        <v>11000</v>
      </c>
      <c r="G93" s="30"/>
      <c r="H93" s="30">
        <f>16800+660/1.25</f>
        <v>17328</v>
      </c>
      <c r="I93" s="36" t="s">
        <v>73</v>
      </c>
      <c r="J93" s="5"/>
      <c r="K93" s="5"/>
      <c r="L93" s="5"/>
      <c r="M93" s="5"/>
      <c r="N93" s="116"/>
      <c r="O93" s="116"/>
      <c r="P93" s="50">
        <f t="shared" si="10"/>
        <v>6328</v>
      </c>
    </row>
    <row r="94" spans="1:18" x14ac:dyDescent="0.2">
      <c r="A94" s="168"/>
      <c r="B94" s="135"/>
      <c r="C94" s="27"/>
      <c r="D94" s="3" t="s">
        <v>127</v>
      </c>
      <c r="E94" s="45"/>
      <c r="F94" s="30">
        <v>1000</v>
      </c>
      <c r="G94" s="30"/>
      <c r="H94" s="30">
        <f>7540.66/1.25</f>
        <v>6032.5280000000002</v>
      </c>
      <c r="I94" s="36" t="s">
        <v>73</v>
      </c>
      <c r="J94" s="5"/>
      <c r="K94" s="5"/>
      <c r="L94" s="5"/>
      <c r="M94" s="5"/>
      <c r="N94" s="116"/>
      <c r="O94" s="116"/>
      <c r="P94" s="50">
        <f t="shared" si="10"/>
        <v>5032.5280000000002</v>
      </c>
    </row>
    <row r="95" spans="1:18" x14ac:dyDescent="0.2">
      <c r="A95" s="166">
        <v>16</v>
      </c>
      <c r="B95" s="45">
        <v>3237</v>
      </c>
      <c r="C95" s="2"/>
      <c r="D95" s="21" t="s">
        <v>66</v>
      </c>
      <c r="E95" s="54"/>
      <c r="F95" s="31">
        <f>SUM(F96:F97)</f>
        <v>5899.2</v>
      </c>
      <c r="G95" s="31">
        <f t="shared" ref="G95:H95" si="13">SUM(G96:G97)</f>
        <v>0</v>
      </c>
      <c r="H95" s="31">
        <f t="shared" si="13"/>
        <v>16781.830000000002</v>
      </c>
      <c r="I95" s="36"/>
      <c r="J95" s="5"/>
      <c r="K95" s="5"/>
      <c r="L95" s="5"/>
      <c r="M95" s="5"/>
      <c r="N95" s="123"/>
      <c r="O95" s="123"/>
      <c r="P95" s="82">
        <f t="shared" si="10"/>
        <v>10882.630000000001</v>
      </c>
    </row>
    <row r="96" spans="1:18" x14ac:dyDescent="0.2">
      <c r="A96" s="167"/>
      <c r="B96" s="130"/>
      <c r="C96" s="26"/>
      <c r="D96" s="3" t="s">
        <v>129</v>
      </c>
      <c r="E96" s="45"/>
      <c r="F96" s="30">
        <v>1500</v>
      </c>
      <c r="G96" s="30"/>
      <c r="H96" s="30">
        <v>8006.83</v>
      </c>
      <c r="I96" s="36"/>
      <c r="J96" s="5"/>
      <c r="K96" s="5"/>
      <c r="L96" s="5"/>
      <c r="M96" s="5"/>
      <c r="N96" s="123"/>
      <c r="O96" s="123"/>
      <c r="P96" s="50">
        <f t="shared" si="10"/>
        <v>6506.83</v>
      </c>
    </row>
    <row r="97" spans="1:16" x14ac:dyDescent="0.2">
      <c r="A97" s="168"/>
      <c r="B97" s="135"/>
      <c r="C97" s="27"/>
      <c r="D97" s="3" t="s">
        <v>128</v>
      </c>
      <c r="E97" s="45"/>
      <c r="F97" s="30">
        <v>4399.2</v>
      </c>
      <c r="G97" s="30"/>
      <c r="H97" s="30">
        <v>8775</v>
      </c>
      <c r="I97" s="36" t="s">
        <v>73</v>
      </c>
      <c r="J97" s="5"/>
      <c r="K97" s="5"/>
      <c r="L97" s="5"/>
      <c r="M97" s="5"/>
      <c r="N97" s="124"/>
      <c r="O97" s="123"/>
      <c r="P97" s="50">
        <f t="shared" si="10"/>
        <v>4375.8</v>
      </c>
    </row>
    <row r="98" spans="1:16" x14ac:dyDescent="0.2">
      <c r="A98" s="166">
        <v>17</v>
      </c>
      <c r="B98" s="45">
        <v>3238</v>
      </c>
      <c r="C98" s="2"/>
      <c r="D98" s="21" t="s">
        <v>13</v>
      </c>
      <c r="E98" s="54"/>
      <c r="F98" s="31">
        <f>SUM(F99)</f>
        <v>14730.4</v>
      </c>
      <c r="G98" s="31">
        <f t="shared" ref="G98:H98" si="14">SUM(G99)</f>
        <v>0</v>
      </c>
      <c r="H98" s="31">
        <f t="shared" si="14"/>
        <v>9930</v>
      </c>
      <c r="I98" s="36"/>
      <c r="J98" s="5"/>
      <c r="K98" s="5"/>
      <c r="L98" s="5"/>
      <c r="M98" s="5"/>
      <c r="N98" s="123"/>
      <c r="O98" s="123"/>
      <c r="P98" s="82">
        <f t="shared" si="10"/>
        <v>-4800.3999999999996</v>
      </c>
    </row>
    <row r="99" spans="1:16" x14ac:dyDescent="0.2">
      <c r="A99" s="167"/>
      <c r="B99" s="114"/>
      <c r="C99" s="28"/>
      <c r="D99" s="3" t="s">
        <v>130</v>
      </c>
      <c r="E99" s="94"/>
      <c r="F99" s="30">
        <v>14730.4</v>
      </c>
      <c r="G99" s="30"/>
      <c r="H99" s="30">
        <f>12412.5/1.25</f>
        <v>9930</v>
      </c>
      <c r="I99" s="36" t="s">
        <v>73</v>
      </c>
      <c r="J99" s="5"/>
      <c r="K99" s="5"/>
      <c r="L99" s="5"/>
      <c r="M99" s="5"/>
      <c r="N99" s="116"/>
      <c r="O99" s="116"/>
      <c r="P99" s="50">
        <f t="shared" si="10"/>
        <v>-4800.3999999999996</v>
      </c>
    </row>
    <row r="100" spans="1:16" x14ac:dyDescent="0.2">
      <c r="A100" s="89">
        <v>18</v>
      </c>
      <c r="B100" s="47">
        <v>3239</v>
      </c>
      <c r="C100" s="25"/>
      <c r="D100" s="21" t="s">
        <v>28</v>
      </c>
      <c r="E100" s="54"/>
      <c r="F100" s="31">
        <v>16440</v>
      </c>
      <c r="G100" s="31">
        <f>3000/1.25+9000/1.25</f>
        <v>9600</v>
      </c>
      <c r="H100" s="31">
        <f>11500.3/1.25</f>
        <v>9200.24</v>
      </c>
      <c r="I100" s="36" t="s">
        <v>73</v>
      </c>
      <c r="J100" s="5"/>
      <c r="K100" s="5"/>
      <c r="L100" s="5"/>
      <c r="M100" s="5"/>
      <c r="N100" s="123"/>
      <c r="O100" s="123"/>
      <c r="P100" s="82">
        <f t="shared" si="10"/>
        <v>-7239.76</v>
      </c>
    </row>
    <row r="101" spans="1:16" ht="22.5" x14ac:dyDescent="0.2">
      <c r="A101" s="89">
        <v>19</v>
      </c>
      <c r="B101" s="47">
        <v>3292</v>
      </c>
      <c r="C101" s="25"/>
      <c r="D101" s="21" t="s">
        <v>155</v>
      </c>
      <c r="E101" s="54"/>
      <c r="F101" s="31">
        <v>11120</v>
      </c>
      <c r="G101" s="31">
        <f>13900</f>
        <v>13900</v>
      </c>
      <c r="H101" s="31">
        <v>13650</v>
      </c>
      <c r="I101" s="40" t="s">
        <v>122</v>
      </c>
      <c r="J101" s="5"/>
      <c r="K101" s="5"/>
      <c r="L101" s="5"/>
      <c r="M101" s="5"/>
      <c r="N101" s="116"/>
      <c r="O101" s="116"/>
      <c r="P101" s="82">
        <f t="shared" si="10"/>
        <v>2530</v>
      </c>
    </row>
    <row r="102" spans="1:16" x14ac:dyDescent="0.2">
      <c r="A102" s="89">
        <v>20</v>
      </c>
      <c r="B102" s="45">
        <v>3293</v>
      </c>
      <c r="C102" s="2"/>
      <c r="D102" s="21" t="s">
        <v>58</v>
      </c>
      <c r="E102" s="54"/>
      <c r="F102" s="31">
        <v>4400</v>
      </c>
      <c r="G102" s="31">
        <f>9000/1.25</f>
        <v>7200</v>
      </c>
      <c r="H102" s="31">
        <f>6459.65/1.25</f>
        <v>5167.7199999999993</v>
      </c>
      <c r="I102" s="36" t="s">
        <v>73</v>
      </c>
      <c r="J102" s="5"/>
      <c r="K102" s="5"/>
      <c r="L102" s="5"/>
      <c r="M102" s="5"/>
      <c r="N102" s="116"/>
      <c r="O102" s="116"/>
      <c r="P102" s="82">
        <f t="shared" si="10"/>
        <v>767.71999999999935</v>
      </c>
    </row>
    <row r="103" spans="1:16" x14ac:dyDescent="0.2">
      <c r="A103" s="89">
        <v>21</v>
      </c>
      <c r="B103" s="45">
        <v>3294</v>
      </c>
      <c r="C103" s="2"/>
      <c r="D103" s="21" t="s">
        <v>16</v>
      </c>
      <c r="E103" s="54"/>
      <c r="F103" s="31">
        <v>920</v>
      </c>
      <c r="G103" s="31">
        <f>1150/1.25</f>
        <v>920</v>
      </c>
      <c r="H103" s="31">
        <f>1200/1.25</f>
        <v>960</v>
      </c>
      <c r="I103" s="36" t="s">
        <v>73</v>
      </c>
      <c r="J103" s="5"/>
      <c r="K103" s="5"/>
      <c r="L103" s="5"/>
      <c r="M103" s="5"/>
      <c r="N103" s="123"/>
      <c r="O103" s="123"/>
      <c r="P103" s="82">
        <f t="shared" si="10"/>
        <v>40</v>
      </c>
    </row>
    <row r="104" spans="1:16" x14ac:dyDescent="0.2">
      <c r="A104" s="89">
        <v>22</v>
      </c>
      <c r="B104" s="45">
        <v>3295</v>
      </c>
      <c r="C104" s="2"/>
      <c r="D104" s="21" t="s">
        <v>45</v>
      </c>
      <c r="E104" s="54"/>
      <c r="F104" s="31">
        <v>800</v>
      </c>
      <c r="G104" s="30">
        <f>1500/1.25</f>
        <v>1200</v>
      </c>
      <c r="H104" s="31">
        <f>37163.22</f>
        <v>37163.22</v>
      </c>
      <c r="I104" s="36" t="s">
        <v>73</v>
      </c>
      <c r="J104" s="5"/>
      <c r="K104" s="5"/>
      <c r="L104" s="5"/>
      <c r="M104" s="5"/>
      <c r="N104" s="116"/>
      <c r="O104" s="116"/>
      <c r="P104" s="82">
        <f t="shared" si="10"/>
        <v>36363.22</v>
      </c>
    </row>
    <row r="105" spans="1:16" x14ac:dyDescent="0.2">
      <c r="A105" s="89">
        <v>23</v>
      </c>
      <c r="B105" s="45">
        <v>3296</v>
      </c>
      <c r="C105" s="2"/>
      <c r="D105" s="21" t="s">
        <v>46</v>
      </c>
      <c r="E105" s="54"/>
      <c r="F105" s="30"/>
      <c r="G105" s="30"/>
      <c r="H105" s="30"/>
      <c r="I105" s="36"/>
      <c r="J105" s="5"/>
      <c r="K105" s="5"/>
      <c r="L105" s="5"/>
      <c r="M105" s="5"/>
      <c r="N105" s="116"/>
      <c r="O105" s="116"/>
      <c r="P105" s="82">
        <f t="shared" si="10"/>
        <v>0</v>
      </c>
    </row>
    <row r="106" spans="1:16" x14ac:dyDescent="0.2">
      <c r="A106" s="166">
        <v>24</v>
      </c>
      <c r="B106" s="45">
        <v>3299</v>
      </c>
      <c r="C106" s="2"/>
      <c r="D106" s="21" t="s">
        <v>20</v>
      </c>
      <c r="E106" s="54"/>
      <c r="F106" s="31">
        <f>SUM(F107:F112)</f>
        <v>15200</v>
      </c>
      <c r="G106" s="31">
        <f t="shared" ref="G106:H106" si="15">SUM(G107:G112)</f>
        <v>0</v>
      </c>
      <c r="H106" s="31">
        <f t="shared" si="15"/>
        <v>21190.678</v>
      </c>
      <c r="I106" s="36"/>
      <c r="J106" s="5"/>
      <c r="K106" s="5"/>
      <c r="L106" s="5"/>
      <c r="M106" s="5"/>
      <c r="N106" s="123"/>
      <c r="O106" s="123"/>
      <c r="P106" s="82">
        <f t="shared" si="10"/>
        <v>5990.6779999999999</v>
      </c>
    </row>
    <row r="107" spans="1:16" x14ac:dyDescent="0.2">
      <c r="A107" s="167"/>
      <c r="B107" s="130"/>
      <c r="C107" s="26"/>
      <c r="D107" s="3" t="s">
        <v>131</v>
      </c>
      <c r="E107" s="45"/>
      <c r="F107" s="30">
        <v>800</v>
      </c>
      <c r="G107" s="30"/>
      <c r="H107" s="30">
        <f>751.71/1.25</f>
        <v>601.36800000000005</v>
      </c>
      <c r="I107" s="36" t="s">
        <v>73</v>
      </c>
      <c r="J107" s="5"/>
      <c r="K107" s="5"/>
      <c r="L107" s="5"/>
      <c r="M107" s="5"/>
      <c r="N107" s="116"/>
      <c r="O107" s="116"/>
      <c r="P107" s="50">
        <f t="shared" si="10"/>
        <v>-198.63199999999995</v>
      </c>
    </row>
    <row r="108" spans="1:16" x14ac:dyDescent="0.2">
      <c r="A108" s="167"/>
      <c r="B108" s="131"/>
      <c r="C108" s="33"/>
      <c r="D108" s="3" t="s">
        <v>132</v>
      </c>
      <c r="E108" s="45"/>
      <c r="F108" s="30">
        <v>12300</v>
      </c>
      <c r="G108" s="30"/>
      <c r="H108" s="30">
        <v>0</v>
      </c>
      <c r="I108" s="36" t="s">
        <v>73</v>
      </c>
      <c r="J108" s="5"/>
      <c r="K108" s="5"/>
      <c r="L108" s="5"/>
      <c r="M108" s="5"/>
      <c r="N108" s="116"/>
      <c r="O108" s="116"/>
      <c r="P108" s="50">
        <f t="shared" si="10"/>
        <v>-12300</v>
      </c>
    </row>
    <row r="109" spans="1:16" x14ac:dyDescent="0.2">
      <c r="A109" s="167"/>
      <c r="B109" s="131"/>
      <c r="C109" s="33"/>
      <c r="D109" s="3" t="s">
        <v>222</v>
      </c>
      <c r="E109" s="45"/>
      <c r="F109" s="30">
        <v>0</v>
      </c>
      <c r="G109" s="30"/>
      <c r="H109" s="30">
        <v>2479.31</v>
      </c>
      <c r="I109" s="36" t="s">
        <v>73</v>
      </c>
      <c r="J109" s="5"/>
      <c r="K109" s="5"/>
      <c r="L109" s="5"/>
      <c r="M109" s="5"/>
      <c r="N109" s="116"/>
      <c r="O109" s="116"/>
      <c r="P109" s="50">
        <f t="shared" si="10"/>
        <v>2479.31</v>
      </c>
    </row>
    <row r="110" spans="1:16" x14ac:dyDescent="0.2">
      <c r="A110" s="167"/>
      <c r="B110" s="131"/>
      <c r="C110" s="33"/>
      <c r="D110" s="3" t="s">
        <v>223</v>
      </c>
      <c r="E110" s="45"/>
      <c r="F110" s="30">
        <v>0</v>
      </c>
      <c r="G110" s="30"/>
      <c r="H110" s="30">
        <f>16235</f>
        <v>16235</v>
      </c>
      <c r="I110" s="36" t="s">
        <v>73</v>
      </c>
      <c r="J110" s="5"/>
      <c r="K110" s="5"/>
      <c r="L110" s="5"/>
      <c r="M110" s="5"/>
      <c r="N110" s="116"/>
      <c r="O110" s="116"/>
      <c r="P110" s="50">
        <f t="shared" si="10"/>
        <v>16235</v>
      </c>
    </row>
    <row r="111" spans="1:16" x14ac:dyDescent="0.2">
      <c r="A111" s="167"/>
      <c r="B111" s="131"/>
      <c r="C111" s="33"/>
      <c r="D111" s="3" t="s">
        <v>133</v>
      </c>
      <c r="E111" s="45"/>
      <c r="F111" s="30">
        <v>350</v>
      </c>
      <c r="G111" s="30"/>
      <c r="H111" s="30">
        <v>150</v>
      </c>
      <c r="I111" s="36" t="s">
        <v>73</v>
      </c>
      <c r="J111" s="5"/>
      <c r="K111" s="5"/>
      <c r="L111" s="5"/>
      <c r="M111" s="5"/>
      <c r="N111" s="116"/>
      <c r="O111" s="116"/>
      <c r="P111" s="50">
        <f t="shared" si="10"/>
        <v>-200</v>
      </c>
    </row>
    <row r="112" spans="1:16" x14ac:dyDescent="0.2">
      <c r="A112" s="167"/>
      <c r="B112" s="131"/>
      <c r="C112" s="33"/>
      <c r="D112" s="3" t="s">
        <v>134</v>
      </c>
      <c r="E112" s="45"/>
      <c r="F112" s="30">
        <v>1750</v>
      </c>
      <c r="G112" s="30"/>
      <c r="H112" s="30">
        <v>1725</v>
      </c>
      <c r="I112" s="36" t="s">
        <v>73</v>
      </c>
      <c r="J112" s="5"/>
      <c r="K112" s="5"/>
      <c r="L112" s="5"/>
      <c r="M112" s="5"/>
      <c r="N112" s="116"/>
      <c r="O112" s="116"/>
      <c r="P112" s="50">
        <f t="shared" si="10"/>
        <v>-25</v>
      </c>
    </row>
    <row r="113" spans="1:19" x14ac:dyDescent="0.2">
      <c r="A113" s="166">
        <v>25</v>
      </c>
      <c r="B113" s="45">
        <v>3431</v>
      </c>
      <c r="C113" s="2"/>
      <c r="D113" s="21" t="s">
        <v>29</v>
      </c>
      <c r="E113" s="54"/>
      <c r="F113" s="31">
        <f>SUM(F114)</f>
        <v>8400</v>
      </c>
      <c r="G113" s="31">
        <f t="shared" ref="G113:H113" si="16">SUM(G114)</f>
        <v>0</v>
      </c>
      <c r="H113" s="31">
        <f t="shared" si="16"/>
        <v>8722.82</v>
      </c>
      <c r="I113" s="36" t="s">
        <v>73</v>
      </c>
      <c r="J113" s="5"/>
      <c r="K113" s="5"/>
      <c r="L113" s="5"/>
      <c r="M113" s="5"/>
      <c r="N113" s="123"/>
      <c r="O113" s="123"/>
      <c r="P113" s="82">
        <f t="shared" si="10"/>
        <v>322.81999999999971</v>
      </c>
    </row>
    <row r="114" spans="1:19" x14ac:dyDescent="0.2">
      <c r="A114" s="168"/>
      <c r="B114" s="45"/>
      <c r="C114" s="1"/>
      <c r="D114" s="3" t="s">
        <v>76</v>
      </c>
      <c r="E114" s="45"/>
      <c r="F114" s="30">
        <v>8400</v>
      </c>
      <c r="G114" s="30"/>
      <c r="H114" s="30">
        <f>7872.82+850</f>
        <v>8722.82</v>
      </c>
      <c r="I114" s="36" t="s">
        <v>73</v>
      </c>
      <c r="J114" s="5"/>
      <c r="K114" s="5"/>
      <c r="L114" s="5"/>
      <c r="M114" s="5"/>
      <c r="N114" s="116"/>
      <c r="O114" s="116"/>
      <c r="P114" s="50">
        <f t="shared" si="10"/>
        <v>322.81999999999971</v>
      </c>
    </row>
    <row r="115" spans="1:19" x14ac:dyDescent="0.2">
      <c r="A115" s="119">
        <v>26</v>
      </c>
      <c r="B115" s="54">
        <v>3224</v>
      </c>
      <c r="C115" s="2"/>
      <c r="D115" s="21" t="s">
        <v>156</v>
      </c>
      <c r="E115" s="45"/>
      <c r="F115" s="31">
        <v>16800</v>
      </c>
      <c r="G115" s="31">
        <f>20560.56/1.25+10000/1.25</f>
        <v>24448.448</v>
      </c>
      <c r="H115" s="31">
        <f>18730.86/1.25</f>
        <v>14984.688</v>
      </c>
      <c r="I115" s="36" t="s">
        <v>73</v>
      </c>
      <c r="J115" s="5"/>
      <c r="K115" s="5"/>
      <c r="L115" s="5"/>
      <c r="M115" s="5"/>
      <c r="N115" s="116"/>
      <c r="O115" s="116"/>
      <c r="P115" s="82">
        <f t="shared" si="10"/>
        <v>-1815.3119999999999</v>
      </c>
    </row>
    <row r="116" spans="1:19" x14ac:dyDescent="0.2">
      <c r="A116" s="89">
        <v>27</v>
      </c>
      <c r="B116" s="45">
        <v>4212</v>
      </c>
      <c r="C116" s="2"/>
      <c r="D116" s="21" t="s">
        <v>43</v>
      </c>
      <c r="E116" s="54"/>
      <c r="F116" s="31">
        <f>F117+F118+F119+F120</f>
        <v>355100</v>
      </c>
      <c r="G116" s="31">
        <f t="shared" ref="G116:H116" si="17">G117+G118+G119+G120</f>
        <v>0</v>
      </c>
      <c r="H116" s="82">
        <f t="shared" si="17"/>
        <v>179999</v>
      </c>
      <c r="I116" s="36"/>
      <c r="J116" s="5"/>
      <c r="K116" s="5"/>
      <c r="L116" s="5"/>
      <c r="M116" s="5"/>
      <c r="N116" s="116"/>
      <c r="O116" s="116"/>
      <c r="P116" s="82">
        <f t="shared" si="10"/>
        <v>-175101</v>
      </c>
    </row>
    <row r="117" spans="1:19" ht="24" x14ac:dyDescent="0.2">
      <c r="A117" s="89"/>
      <c r="B117" s="45">
        <v>42123</v>
      </c>
      <c r="C117" s="100" t="s">
        <v>175</v>
      </c>
      <c r="D117" s="81" t="s">
        <v>166</v>
      </c>
      <c r="E117" s="96" t="s">
        <v>205</v>
      </c>
      <c r="F117" s="50">
        <v>133600</v>
      </c>
      <c r="G117" s="50"/>
      <c r="H117" s="50">
        <v>133600</v>
      </c>
      <c r="I117" s="108" t="s">
        <v>122</v>
      </c>
      <c r="J117" s="5" t="s">
        <v>173</v>
      </c>
      <c r="K117" s="84" t="s">
        <v>170</v>
      </c>
      <c r="L117" s="5"/>
      <c r="M117" s="5"/>
      <c r="N117" s="116"/>
      <c r="O117" s="116"/>
      <c r="P117" s="50">
        <f t="shared" si="10"/>
        <v>0</v>
      </c>
    </row>
    <row r="118" spans="1:19" ht="24" x14ac:dyDescent="0.2">
      <c r="A118" s="89"/>
      <c r="B118" s="45">
        <v>42123</v>
      </c>
      <c r="C118" s="102"/>
      <c r="D118" s="81" t="s">
        <v>176</v>
      </c>
      <c r="E118" s="107">
        <v>71332000</v>
      </c>
      <c r="F118" s="50">
        <v>26500</v>
      </c>
      <c r="G118" s="50"/>
      <c r="H118" s="50">
        <v>26500</v>
      </c>
      <c r="I118" s="83" t="s">
        <v>73</v>
      </c>
      <c r="J118" s="5" t="s">
        <v>173</v>
      </c>
      <c r="K118" s="84" t="s">
        <v>182</v>
      </c>
      <c r="L118" s="5"/>
      <c r="M118" s="5"/>
      <c r="N118" s="116"/>
      <c r="O118" s="116"/>
      <c r="P118" s="50">
        <f t="shared" si="10"/>
        <v>0</v>
      </c>
    </row>
    <row r="119" spans="1:19" ht="24" x14ac:dyDescent="0.2">
      <c r="A119" s="89"/>
      <c r="B119" s="45">
        <v>42123</v>
      </c>
      <c r="C119" s="102"/>
      <c r="D119" s="81" t="s">
        <v>167</v>
      </c>
      <c r="E119" s="96" t="s">
        <v>205</v>
      </c>
      <c r="F119" s="50">
        <v>195000</v>
      </c>
      <c r="G119" s="50"/>
      <c r="H119" s="82">
        <v>0</v>
      </c>
      <c r="I119" s="108" t="s">
        <v>122</v>
      </c>
      <c r="J119" s="5" t="s">
        <v>234</v>
      </c>
      <c r="K119" s="5"/>
      <c r="L119" s="85"/>
      <c r="M119" s="5"/>
      <c r="N119" s="116"/>
      <c r="O119" s="116"/>
      <c r="P119" s="50">
        <f t="shared" si="10"/>
        <v>-195000</v>
      </c>
      <c r="S119" s="20"/>
    </row>
    <row r="120" spans="1:19" ht="24" x14ac:dyDescent="0.2">
      <c r="A120" s="89"/>
      <c r="B120" s="45">
        <v>4212</v>
      </c>
      <c r="C120" s="102"/>
      <c r="D120" s="81" t="s">
        <v>226</v>
      </c>
      <c r="E120" s="96"/>
      <c r="F120" s="50">
        <v>0</v>
      </c>
      <c r="G120" s="50"/>
      <c r="H120" s="50">
        <f>24873.75/1.25</f>
        <v>19899</v>
      </c>
      <c r="I120" s="108" t="s">
        <v>73</v>
      </c>
      <c r="J120" s="5" t="s">
        <v>173</v>
      </c>
      <c r="K120" s="84" t="s">
        <v>182</v>
      </c>
      <c r="L120" s="85"/>
      <c r="M120" s="5"/>
      <c r="N120" s="116"/>
      <c r="O120" s="116"/>
      <c r="P120" s="50">
        <f t="shared" ref="P120" si="18">H120-F120</f>
        <v>19899</v>
      </c>
      <c r="S120" s="20"/>
    </row>
    <row r="121" spans="1:19" x14ac:dyDescent="0.2">
      <c r="A121" s="89">
        <v>28</v>
      </c>
      <c r="B121" s="45">
        <v>4221</v>
      </c>
      <c r="C121" s="2"/>
      <c r="D121" s="21" t="s">
        <v>139</v>
      </c>
      <c r="E121" s="54"/>
      <c r="F121" s="31">
        <f>SUM(F122:F124)</f>
        <v>10400</v>
      </c>
      <c r="G121" s="31">
        <f>SUM(G122:G124)</f>
        <v>12812</v>
      </c>
      <c r="H121" s="31">
        <f>SUM(H122:H124)</f>
        <v>133949.50400000002</v>
      </c>
      <c r="I121" s="36"/>
      <c r="J121" s="5"/>
      <c r="K121" s="5"/>
      <c r="L121" s="5"/>
      <c r="M121" s="5"/>
      <c r="N121" s="123"/>
      <c r="O121" s="123"/>
      <c r="P121" s="82">
        <f t="shared" si="10"/>
        <v>123549.50400000002</v>
      </c>
    </row>
    <row r="122" spans="1:19" x14ac:dyDescent="0.2">
      <c r="A122" s="89"/>
      <c r="B122" s="45"/>
      <c r="C122" s="2"/>
      <c r="D122" s="3" t="s">
        <v>138</v>
      </c>
      <c r="E122" s="54"/>
      <c r="F122" s="30">
        <v>10400</v>
      </c>
      <c r="G122" s="31">
        <f>16015/1.25</f>
        <v>12812</v>
      </c>
      <c r="H122" s="30">
        <f>92309.19/1.25</f>
        <v>73847.351999999999</v>
      </c>
      <c r="I122" s="36" t="s">
        <v>73</v>
      </c>
      <c r="J122" s="5"/>
      <c r="K122" s="5"/>
      <c r="L122" s="5"/>
      <c r="M122" s="5"/>
      <c r="N122" s="116"/>
      <c r="O122" s="116"/>
      <c r="P122" s="50">
        <f t="shared" si="10"/>
        <v>63447.351999999999</v>
      </c>
    </row>
    <row r="123" spans="1:19" x14ac:dyDescent="0.2">
      <c r="A123" s="89"/>
      <c r="B123" s="45"/>
      <c r="C123" s="2"/>
      <c r="D123" s="3" t="s">
        <v>140</v>
      </c>
      <c r="E123" s="54"/>
      <c r="F123" s="30">
        <v>0</v>
      </c>
      <c r="G123" s="30"/>
      <c r="H123" s="50">
        <f>26883.5/1.25</f>
        <v>21506.799999999999</v>
      </c>
      <c r="I123" s="36" t="s">
        <v>145</v>
      </c>
      <c r="J123" s="5"/>
      <c r="K123" s="5"/>
      <c r="L123" s="5"/>
      <c r="M123" s="5"/>
      <c r="N123" s="116"/>
      <c r="O123" s="116"/>
      <c r="P123" s="50">
        <f t="shared" si="10"/>
        <v>21506.799999999999</v>
      </c>
    </row>
    <row r="124" spans="1:19" x14ac:dyDescent="0.2">
      <c r="A124" s="89"/>
      <c r="B124" s="45"/>
      <c r="C124" s="2"/>
      <c r="D124" s="3" t="s">
        <v>141</v>
      </c>
      <c r="E124" s="54"/>
      <c r="F124" s="30">
        <v>0</v>
      </c>
      <c r="G124" s="30"/>
      <c r="H124" s="50">
        <f>92309.19/1.25-35252</f>
        <v>38595.351999999999</v>
      </c>
      <c r="I124" s="36" t="s">
        <v>145</v>
      </c>
      <c r="J124" s="5"/>
      <c r="K124" s="5"/>
      <c r="L124" s="5"/>
      <c r="M124" s="5"/>
      <c r="N124" s="116"/>
      <c r="O124" s="116"/>
      <c r="P124" s="50">
        <f t="shared" si="10"/>
        <v>38595.351999999999</v>
      </c>
    </row>
    <row r="125" spans="1:19" ht="22.5" x14ac:dyDescent="0.2">
      <c r="A125" s="89"/>
      <c r="B125" s="45"/>
      <c r="C125" s="102" t="s">
        <v>202</v>
      </c>
      <c r="D125" s="3" t="s">
        <v>229</v>
      </c>
      <c r="E125" s="96" t="s">
        <v>232</v>
      </c>
      <c r="F125" s="30">
        <v>0</v>
      </c>
      <c r="G125" s="30"/>
      <c r="H125" s="50">
        <v>35252</v>
      </c>
      <c r="I125" s="108" t="s">
        <v>122</v>
      </c>
      <c r="J125" s="5" t="s">
        <v>173</v>
      </c>
      <c r="K125" s="5" t="s">
        <v>169</v>
      </c>
      <c r="L125" s="85" t="s">
        <v>230</v>
      </c>
      <c r="M125" s="5" t="s">
        <v>231</v>
      </c>
      <c r="N125" s="116"/>
      <c r="O125" s="116"/>
      <c r="P125" s="50">
        <f t="shared" ref="P125" si="19">H125-F125</f>
        <v>35252</v>
      </c>
    </row>
    <row r="126" spans="1:19" x14ac:dyDescent="0.2">
      <c r="A126" s="89">
        <v>29</v>
      </c>
      <c r="B126" s="45">
        <v>4223</v>
      </c>
      <c r="C126" s="2"/>
      <c r="D126" s="21" t="s">
        <v>157</v>
      </c>
      <c r="E126" s="54"/>
      <c r="F126" s="31">
        <v>0</v>
      </c>
      <c r="G126" s="31">
        <f>50000/1.25</f>
        <v>40000</v>
      </c>
      <c r="H126" s="31">
        <f>2229/1.25</f>
        <v>1783.2</v>
      </c>
      <c r="I126" s="36" t="s">
        <v>73</v>
      </c>
      <c r="J126" s="5"/>
      <c r="K126" s="5"/>
      <c r="L126" s="5"/>
      <c r="M126" s="5"/>
      <c r="N126" s="124"/>
      <c r="O126" s="125"/>
      <c r="P126" s="82">
        <f t="shared" si="10"/>
        <v>1783.2</v>
      </c>
    </row>
    <row r="127" spans="1:19" x14ac:dyDescent="0.2">
      <c r="A127" s="89">
        <v>29</v>
      </c>
      <c r="B127" s="45">
        <v>4227</v>
      </c>
      <c r="C127" s="2"/>
      <c r="D127" s="21" t="s">
        <v>31</v>
      </c>
      <c r="E127" s="54"/>
      <c r="F127" s="31">
        <v>8000</v>
      </c>
      <c r="G127" s="31">
        <f>50000/1.25</f>
        <v>40000</v>
      </c>
      <c r="H127" s="31">
        <f>58329.22/1.25</f>
        <v>46663.376000000004</v>
      </c>
      <c r="I127" s="36" t="s">
        <v>73</v>
      </c>
      <c r="J127" s="5"/>
      <c r="K127" s="5"/>
      <c r="L127" s="5"/>
      <c r="M127" s="5"/>
      <c r="N127" s="123"/>
      <c r="O127" s="123"/>
      <c r="P127" s="82">
        <f t="shared" si="10"/>
        <v>38663.376000000004</v>
      </c>
    </row>
    <row r="128" spans="1:19" x14ac:dyDescent="0.2">
      <c r="A128" s="89">
        <v>30</v>
      </c>
      <c r="B128" s="45">
        <v>4241</v>
      </c>
      <c r="C128" s="2"/>
      <c r="D128" s="21" t="s">
        <v>135</v>
      </c>
      <c r="E128" s="54"/>
      <c r="F128" s="31">
        <v>5840</v>
      </c>
      <c r="G128" s="31"/>
      <c r="H128" s="31">
        <f>7313.28/1.05</f>
        <v>6965.028571428571</v>
      </c>
      <c r="I128" s="36" t="s">
        <v>73</v>
      </c>
      <c r="J128" s="5"/>
      <c r="K128" s="5"/>
      <c r="L128" s="5"/>
      <c r="M128" s="5"/>
      <c r="N128" s="123"/>
      <c r="O128" s="123"/>
      <c r="P128" s="82">
        <f t="shared" si="10"/>
        <v>1125.028571428571</v>
      </c>
    </row>
    <row r="129" spans="1:18" ht="33.75" x14ac:dyDescent="0.2">
      <c r="A129" s="89">
        <v>31</v>
      </c>
      <c r="B129" s="43" t="s">
        <v>136</v>
      </c>
      <c r="C129" s="2"/>
      <c r="D129" s="21" t="s">
        <v>137</v>
      </c>
      <c r="E129" s="54"/>
      <c r="F129" s="82">
        <v>224000</v>
      </c>
      <c r="G129" s="31">
        <f t="shared" ref="G129" si="20">SUM(G130:G133)</f>
        <v>12812</v>
      </c>
      <c r="H129" s="82">
        <f>144071.71/1.05+41017.4/1.05+11623.62/1.05</f>
        <v>187345.45714285714</v>
      </c>
      <c r="I129" s="106" t="s">
        <v>204</v>
      </c>
      <c r="J129" s="5"/>
      <c r="K129" s="5"/>
      <c r="L129" s="5"/>
      <c r="M129" s="5"/>
      <c r="N129" s="116"/>
      <c r="O129" s="116"/>
      <c r="P129" s="82">
        <f t="shared" si="10"/>
        <v>-36654.542857142864</v>
      </c>
    </row>
    <row r="130" spans="1:18" x14ac:dyDescent="0.2">
      <c r="A130" s="89"/>
      <c r="B130" s="45"/>
      <c r="C130" s="102"/>
      <c r="D130" s="3" t="s">
        <v>210</v>
      </c>
      <c r="E130" s="107">
        <v>22111000</v>
      </c>
      <c r="F130" s="30">
        <v>29590.43</v>
      </c>
      <c r="G130" s="31">
        <f>16015/1.25</f>
        <v>12812</v>
      </c>
      <c r="H130" s="30"/>
      <c r="I130" s="36" t="s">
        <v>73</v>
      </c>
      <c r="J130" s="5"/>
      <c r="K130" s="5"/>
      <c r="L130" s="5"/>
      <c r="M130" s="5"/>
      <c r="N130" s="116"/>
      <c r="O130" s="116"/>
      <c r="P130" s="50">
        <f t="shared" si="10"/>
        <v>-29590.43</v>
      </c>
    </row>
    <row r="131" spans="1:18" x14ac:dyDescent="0.2">
      <c r="A131" s="89"/>
      <c r="B131" s="45"/>
      <c r="C131" s="102"/>
      <c r="D131" s="3" t="s">
        <v>211</v>
      </c>
      <c r="E131" s="107">
        <v>22111000</v>
      </c>
      <c r="F131" s="30">
        <v>27053.71</v>
      </c>
      <c r="G131" s="30"/>
      <c r="H131" s="30"/>
      <c r="I131" s="36" t="s">
        <v>145</v>
      </c>
      <c r="J131" s="5"/>
      <c r="K131" s="5"/>
      <c r="L131" s="5"/>
      <c r="M131" s="5"/>
      <c r="N131" s="116"/>
      <c r="O131" s="116"/>
      <c r="P131" s="50">
        <f t="shared" si="10"/>
        <v>-27053.71</v>
      </c>
    </row>
    <row r="132" spans="1:18" x14ac:dyDescent="0.2">
      <c r="A132" s="89"/>
      <c r="B132" s="45"/>
      <c r="C132" s="102"/>
      <c r="D132" s="3" t="s">
        <v>212</v>
      </c>
      <c r="E132" s="107">
        <v>22111000</v>
      </c>
      <c r="F132" s="30">
        <v>26756.67</v>
      </c>
      <c r="G132" s="30"/>
      <c r="H132" s="30"/>
      <c r="I132" s="36" t="s">
        <v>145</v>
      </c>
      <c r="J132" s="5"/>
      <c r="K132" s="5"/>
      <c r="L132" s="5"/>
      <c r="M132" s="5"/>
      <c r="N132" s="116"/>
      <c r="O132" s="116"/>
      <c r="P132" s="50">
        <f t="shared" si="10"/>
        <v>-26756.67</v>
      </c>
    </row>
    <row r="133" spans="1:18" ht="24" x14ac:dyDescent="0.2">
      <c r="A133" s="89"/>
      <c r="B133" s="45"/>
      <c r="C133" s="102"/>
      <c r="D133" s="81" t="s">
        <v>213</v>
      </c>
      <c r="E133" s="54"/>
      <c r="F133" s="30">
        <f>224000-F130-F131-F132</f>
        <v>140599.19</v>
      </c>
      <c r="G133" s="30"/>
      <c r="H133" s="30"/>
      <c r="I133" s="36" t="s">
        <v>145</v>
      </c>
      <c r="J133" s="5"/>
      <c r="K133" s="5"/>
      <c r="L133" s="5"/>
      <c r="M133" s="5"/>
      <c r="N133" s="116"/>
      <c r="O133" s="116"/>
      <c r="P133" s="50">
        <f t="shared" si="10"/>
        <v>-140599.19</v>
      </c>
    </row>
    <row r="134" spans="1:18" x14ac:dyDescent="0.2">
      <c r="A134" s="89">
        <v>32</v>
      </c>
      <c r="B134" s="45">
        <v>4511</v>
      </c>
      <c r="C134" s="2"/>
      <c r="D134" s="21" t="s">
        <v>42</v>
      </c>
      <c r="E134" s="54"/>
      <c r="F134" s="30"/>
      <c r="G134" s="30"/>
      <c r="H134" s="30"/>
      <c r="I134" s="36"/>
      <c r="J134" s="5"/>
      <c r="K134" s="5"/>
      <c r="L134" s="5"/>
      <c r="M134" s="5"/>
      <c r="N134" s="116"/>
      <c r="O134" s="116"/>
      <c r="P134" s="30">
        <f t="shared" si="10"/>
        <v>0</v>
      </c>
    </row>
    <row r="135" spans="1:18" ht="22.5" x14ac:dyDescent="0.2">
      <c r="A135" s="1"/>
      <c r="B135" s="45"/>
      <c r="C135" s="102" t="s">
        <v>179</v>
      </c>
      <c r="D135" s="4" t="s">
        <v>224</v>
      </c>
      <c r="E135" s="107" t="s">
        <v>205</v>
      </c>
      <c r="F135" s="30">
        <v>0</v>
      </c>
      <c r="G135" s="30"/>
      <c r="H135" s="82">
        <f>242500/1.25</f>
        <v>194000</v>
      </c>
      <c r="I135" s="108" t="s">
        <v>122</v>
      </c>
      <c r="J135" s="5" t="s">
        <v>173</v>
      </c>
      <c r="K135" s="5" t="s">
        <v>169</v>
      </c>
      <c r="L135" s="85" t="s">
        <v>225</v>
      </c>
      <c r="M135" s="5" t="s">
        <v>172</v>
      </c>
      <c r="N135" s="124"/>
      <c r="O135" s="125"/>
      <c r="P135" s="30">
        <f t="shared" si="10"/>
        <v>194000</v>
      </c>
    </row>
    <row r="136" spans="1:18" x14ac:dyDescent="0.2">
      <c r="A136" s="1"/>
      <c r="B136" s="45"/>
      <c r="C136" s="4"/>
      <c r="D136" s="4"/>
      <c r="E136" s="45"/>
      <c r="F136" s="30"/>
      <c r="G136" s="30"/>
      <c r="H136" s="30"/>
      <c r="I136" s="36"/>
      <c r="J136" s="5"/>
      <c r="K136" s="5"/>
      <c r="L136" s="5"/>
      <c r="M136" s="5"/>
      <c r="N136" s="124"/>
      <c r="O136" s="125"/>
      <c r="P136" s="30">
        <f t="shared" si="10"/>
        <v>0</v>
      </c>
    </row>
    <row r="137" spans="1:18" x14ac:dyDescent="0.2">
      <c r="A137" s="1"/>
      <c r="B137" s="45"/>
      <c r="C137" s="4"/>
      <c r="D137" s="4"/>
      <c r="E137" s="45"/>
      <c r="F137" s="30"/>
      <c r="G137" s="30"/>
      <c r="H137" s="30"/>
      <c r="I137" s="36"/>
      <c r="J137" s="5"/>
      <c r="K137" s="5"/>
      <c r="L137" s="5"/>
      <c r="M137" s="5"/>
      <c r="N137" s="124"/>
      <c r="O137" s="125"/>
      <c r="P137" s="30">
        <f t="shared" si="10"/>
        <v>0</v>
      </c>
    </row>
    <row r="138" spans="1:18" x14ac:dyDescent="0.2">
      <c r="A138" s="4"/>
      <c r="B138" s="45"/>
      <c r="C138" s="1"/>
      <c r="D138" s="2" t="s">
        <v>32</v>
      </c>
      <c r="E138" s="54"/>
      <c r="F138" s="31">
        <f t="shared" ref="F138:G138" si="21">F15+F16+F17+F25+F47+F50+F54+F62+F63+F68+F69+F85+F91+F92+F95+F98+F100+F101+F102+F103+F104+F106+F113+F115+F116+F121+F127+F128+F129+F135</f>
        <v>1646737.32</v>
      </c>
      <c r="G138" s="31">
        <f t="shared" si="21"/>
        <v>179954.848</v>
      </c>
      <c r="H138" s="31">
        <f>H15+H16+H17+H25+H47+H50+H54+H62+H63+H68+H69+H85+H91+H92+H95+H98+H100+H101+H102+H103+H104+H106+H113+H115+H116+H121+H127+H128+H129+H135</f>
        <v>1832628.9593903148</v>
      </c>
      <c r="I138" s="36"/>
      <c r="J138" s="5"/>
      <c r="K138" s="5"/>
      <c r="L138" s="5"/>
      <c r="M138" s="5"/>
      <c r="N138" s="123"/>
      <c r="O138" s="123"/>
      <c r="P138" s="31">
        <f>P15+P16+P17+P25+P47+P50+P54+P62+P63+P68+P69+P85+P91+P92+P95+P98+P100+P101+P102+P103+P104+P106+P113+P115+P116+P121+P127+P128+P129+P135</f>
        <v>185891.63939031487</v>
      </c>
      <c r="R138" s="20"/>
    </row>
    <row r="139" spans="1:18" ht="12.75" hidden="1" customHeight="1" x14ac:dyDescent="0.2">
      <c r="A139" s="1"/>
      <c r="B139" s="48"/>
      <c r="C139" s="12"/>
      <c r="D139" s="13"/>
      <c r="E139" s="97"/>
      <c r="F139" s="17">
        <f>SUM(F27:F138)</f>
        <v>4761369.28</v>
      </c>
      <c r="G139" s="51"/>
      <c r="H139" s="51"/>
      <c r="I139" s="37"/>
      <c r="J139" s="19"/>
      <c r="K139" s="19"/>
      <c r="L139" s="19"/>
      <c r="M139" s="14"/>
      <c r="N139" s="124"/>
      <c r="O139" s="125"/>
      <c r="P139" s="51"/>
    </row>
    <row r="140" spans="1:18" x14ac:dyDescent="0.2">
      <c r="A140" s="16"/>
      <c r="D140" s="6"/>
      <c r="M140" s="15"/>
      <c r="N140" s="123"/>
      <c r="O140" s="123"/>
    </row>
    <row r="141" spans="1:18" x14ac:dyDescent="0.2">
      <c r="A141" s="15"/>
      <c r="D141" s="6" t="s">
        <v>227</v>
      </c>
      <c r="F141" s="126" t="s">
        <v>78</v>
      </c>
      <c r="G141" s="126"/>
      <c r="H141" s="126"/>
      <c r="I141" s="126"/>
      <c r="J141" s="126"/>
      <c r="K141" s="126"/>
      <c r="L141" s="126"/>
      <c r="M141" s="127"/>
      <c r="N141" s="127"/>
      <c r="O141" s="127"/>
    </row>
    <row r="142" spans="1:18" x14ac:dyDescent="0.2">
      <c r="B142" s="122"/>
      <c r="C142" s="122"/>
      <c r="D142" s="122"/>
      <c r="E142" s="98"/>
      <c r="F142" s="126" t="s">
        <v>160</v>
      </c>
      <c r="G142" s="126"/>
      <c r="H142" s="126"/>
      <c r="I142" s="126"/>
      <c r="J142" s="126"/>
      <c r="K142" s="126"/>
      <c r="L142" s="126"/>
      <c r="M142" s="127"/>
      <c r="N142" s="127"/>
      <c r="O142" s="127"/>
    </row>
    <row r="143" spans="1:18" x14ac:dyDescent="0.2">
      <c r="B143" s="122"/>
      <c r="C143" s="122"/>
      <c r="D143" s="122"/>
      <c r="E143" s="98"/>
    </row>
    <row r="144" spans="1:18" x14ac:dyDescent="0.2">
      <c r="D144" s="7"/>
      <c r="E144" s="99"/>
      <c r="F144" s="32"/>
      <c r="G144" s="32"/>
      <c r="H144" s="32"/>
      <c r="I144" s="38"/>
      <c r="J144" s="6"/>
      <c r="K144" s="6"/>
      <c r="L144" s="6"/>
      <c r="P144" s="32"/>
    </row>
    <row r="145" spans="1:16" x14ac:dyDescent="0.2">
      <c r="A145" s="6"/>
      <c r="F145" s="110"/>
      <c r="G145" s="110"/>
      <c r="H145" s="110"/>
      <c r="I145" s="38"/>
      <c r="J145" s="6"/>
      <c r="K145" s="6"/>
      <c r="L145" s="6"/>
      <c r="P145" s="110"/>
    </row>
    <row r="146" spans="1:16" hidden="1" x14ac:dyDescent="0.2"/>
    <row r="147" spans="1:16" hidden="1" x14ac:dyDescent="0.2"/>
    <row r="162" hidden="1" x14ac:dyDescent="0.2"/>
    <row r="163" hidden="1" x14ac:dyDescent="0.2"/>
    <row r="164" hidden="1" x14ac:dyDescent="0.2"/>
  </sheetData>
  <mergeCells count="91">
    <mergeCell ref="B143:D143"/>
    <mergeCell ref="N137:O137"/>
    <mergeCell ref="N136:O136"/>
    <mergeCell ref="N126:O126"/>
    <mergeCell ref="N138:O138"/>
    <mergeCell ref="N139:O139"/>
    <mergeCell ref="N140:O140"/>
    <mergeCell ref="F141:O141"/>
    <mergeCell ref="B142:D142"/>
    <mergeCell ref="F142:O142"/>
    <mergeCell ref="A113:A114"/>
    <mergeCell ref="N113:O113"/>
    <mergeCell ref="N121:O121"/>
    <mergeCell ref="N127:O127"/>
    <mergeCell ref="N128:O128"/>
    <mergeCell ref="N135:O135"/>
    <mergeCell ref="A98:A99"/>
    <mergeCell ref="N98:O98"/>
    <mergeCell ref="N100:O100"/>
    <mergeCell ref="N103:O103"/>
    <mergeCell ref="A106:A112"/>
    <mergeCell ref="N106:O106"/>
    <mergeCell ref="B107:B112"/>
    <mergeCell ref="A92:A94"/>
    <mergeCell ref="N92:O92"/>
    <mergeCell ref="B93:B94"/>
    <mergeCell ref="A95:A97"/>
    <mergeCell ref="N95:O95"/>
    <mergeCell ref="B96:B97"/>
    <mergeCell ref="N96:O96"/>
    <mergeCell ref="N97:O97"/>
    <mergeCell ref="A69:A82"/>
    <mergeCell ref="N69:O69"/>
    <mergeCell ref="B74:B82"/>
    <mergeCell ref="A85:A90"/>
    <mergeCell ref="N85:O85"/>
    <mergeCell ref="B86:B90"/>
    <mergeCell ref="N86:O86"/>
    <mergeCell ref="N54:O54"/>
    <mergeCell ref="N55:O55"/>
    <mergeCell ref="N56:O56"/>
    <mergeCell ref="N62:O62"/>
    <mergeCell ref="A63:A67"/>
    <mergeCell ref="N63:O63"/>
    <mergeCell ref="B64:B67"/>
    <mergeCell ref="N44:O44"/>
    <mergeCell ref="N45:O45"/>
    <mergeCell ref="N46:O46"/>
    <mergeCell ref="N47:O47"/>
    <mergeCell ref="N49:O49"/>
    <mergeCell ref="N51:O51"/>
    <mergeCell ref="N37:O37"/>
    <mergeCell ref="N38:O38"/>
    <mergeCell ref="N39:O39"/>
    <mergeCell ref="N40:O40"/>
    <mergeCell ref="N41:O41"/>
    <mergeCell ref="N42:O42"/>
    <mergeCell ref="A25:A46"/>
    <mergeCell ref="B26:B49"/>
    <mergeCell ref="N27:O27"/>
    <mergeCell ref="N28:O28"/>
    <mergeCell ref="N30:O30"/>
    <mergeCell ref="N31:O31"/>
    <mergeCell ref="N32:O32"/>
    <mergeCell ref="N34:O34"/>
    <mergeCell ref="N35:O35"/>
    <mergeCell ref="N36:O36"/>
    <mergeCell ref="N11:O12"/>
    <mergeCell ref="P11:P12"/>
    <mergeCell ref="N13:O13"/>
    <mergeCell ref="A17:A24"/>
    <mergeCell ref="N17:O17"/>
    <mergeCell ref="B18:B24"/>
    <mergeCell ref="H11:H12"/>
    <mergeCell ref="I11:I12"/>
    <mergeCell ref="J11:J12"/>
    <mergeCell ref="K11:K12"/>
    <mergeCell ref="L11:L12"/>
    <mergeCell ref="M11:M12"/>
    <mergeCell ref="A11:A12"/>
    <mergeCell ref="B11:B12"/>
    <mergeCell ref="C11:C12"/>
    <mergeCell ref="D11:D12"/>
    <mergeCell ref="E11:E12"/>
    <mergeCell ref="F11:F12"/>
    <mergeCell ref="A1:M1"/>
    <mergeCell ref="A2:M2"/>
    <mergeCell ref="A3:M3"/>
    <mergeCell ref="A5:D5"/>
    <mergeCell ref="A6:O7"/>
    <mergeCell ref="B8:M8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plan nabave 2022-objava</vt:lpstr>
      <vt:lpstr>Plan nabave 2022-1.izmjena</vt:lpstr>
      <vt:lpstr>Plan nabave- 2. izmjena</vt:lpstr>
      <vt:lpstr>'Plan nabave 2022-1.izmjena'!Podrucje_ispisa</vt:lpstr>
    </vt:vector>
  </TitlesOfParts>
  <Company>OŠ D. Domjanića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Katarina</cp:lastModifiedBy>
  <cp:lastPrinted>2022-12-28T12:18:30Z</cp:lastPrinted>
  <dcterms:created xsi:type="dcterms:W3CDTF">2008-06-09T08:03:08Z</dcterms:created>
  <dcterms:modified xsi:type="dcterms:W3CDTF">2022-12-28T12:40:49Z</dcterms:modified>
</cp:coreProperties>
</file>