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atarina\Desktop\Škola financije\Financijski plan 2025 (2026, 2027)\Izvršenje FP 31.12.2025\"/>
    </mc:Choice>
  </mc:AlternateContent>
  <bookViews>
    <workbookView xWindow="0" yWindow="0" windowWidth="28800" windowHeight="11700" activeTab="4"/>
  </bookViews>
  <sheets>
    <sheet name="SAŽETAK EUR" sheetId="1" r:id="rId1"/>
    <sheet name="Prihodi- ekonom.klasif" sheetId="8" r:id="rId2"/>
    <sheet name="Rashodi-ekonom.klasifik" sheetId="9" r:id="rId3"/>
    <sheet name="prih.rash.-izvori financiranja" sheetId="10" r:id="rId4"/>
    <sheet name="POSEBNI DIO" sheetId="7" r:id="rId5"/>
    <sheet name="Rashodi prema funkcijskoj kl" sheetId="5" r:id="rId6"/>
    <sheet name="Račun financiranja" sheetId="6" r:id="rId7"/>
  </sheets>
  <definedNames>
    <definedName name="_xlnm._FilterDatabase" localSheetId="4" hidden="1">'POSEBNI DIO'!$A$5:$I$452</definedName>
    <definedName name="_xlnm.Print_Area" localSheetId="4">'POSEBNI DIO'!$A$1:$I$554</definedName>
    <definedName name="_xlnm.Print_Area" localSheetId="3">'prih.rash.-izvori financiranja'!$A$1:$G$50</definedName>
    <definedName name="_xlnm.Print_Area" localSheetId="1">'Prihodi- ekonom.klasif'!$A$1:$G$40</definedName>
    <definedName name="_xlnm.Print_Area" localSheetId="6">'Račun financiranja'!$A$1:$I$19</definedName>
    <definedName name="_xlnm.Print_Area" localSheetId="5">'Rashodi prema funkcijskoj kl'!$A$1:$F$25</definedName>
    <definedName name="_xlnm.Print_Area" localSheetId="2">'Rashodi-ekonom.klasifik'!$A$1:$G$75</definedName>
    <definedName name="_xlnm.Print_Area" localSheetId="0">'SAŽETAK EUR'!$A$1:$J$40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D12" i="5"/>
  <c r="G10" i="1" l="1"/>
  <c r="H10" i="1"/>
  <c r="F10" i="1"/>
  <c r="E9" i="8" l="1"/>
  <c r="E8" i="8" s="1"/>
  <c r="E29" i="8"/>
  <c r="D29" i="8"/>
  <c r="D41" i="10"/>
  <c r="E41" i="10"/>
  <c r="E10" i="10"/>
  <c r="D10" i="10"/>
  <c r="G22" i="10"/>
  <c r="H462" i="7"/>
  <c r="G462" i="7"/>
  <c r="F462" i="7"/>
  <c r="F161" i="7"/>
  <c r="F337" i="7"/>
  <c r="F304" i="7"/>
  <c r="F273" i="7"/>
  <c r="F268" i="7"/>
  <c r="G277" i="7"/>
  <c r="F277" i="7"/>
  <c r="E277" i="7"/>
  <c r="G276" i="7"/>
  <c r="F276" i="7"/>
  <c r="E276" i="7"/>
  <c r="G268" i="7"/>
  <c r="E268" i="7"/>
  <c r="F176" i="7"/>
  <c r="F173" i="7"/>
  <c r="G89" i="7"/>
  <c r="F89" i="7"/>
  <c r="E89" i="7"/>
  <c r="G36" i="7"/>
  <c r="F36" i="7"/>
  <c r="E36" i="7"/>
  <c r="G35" i="7"/>
  <c r="G34" i="7" s="1"/>
  <c r="G33" i="7" s="1"/>
  <c r="F35" i="7"/>
  <c r="F34" i="7" s="1"/>
  <c r="F33" i="7" s="1"/>
  <c r="F32" i="7" s="1"/>
  <c r="E35" i="7"/>
  <c r="E34" i="7" s="1"/>
  <c r="E33" i="7" s="1"/>
  <c r="E32" i="7" s="1"/>
  <c r="G18" i="7"/>
  <c r="F18" i="7"/>
  <c r="E18" i="7"/>
  <c r="G17" i="7"/>
  <c r="G16" i="7" s="1"/>
  <c r="F17" i="7"/>
  <c r="F16" i="7" s="1"/>
  <c r="F15" i="7" s="1"/>
  <c r="F14" i="7" s="1"/>
  <c r="F13" i="7" s="1"/>
  <c r="E17" i="7"/>
  <c r="E16" i="7" s="1"/>
  <c r="E15" i="7" s="1"/>
  <c r="E14" i="7" s="1"/>
  <c r="E13" i="7" s="1"/>
  <c r="C24" i="10" l="1"/>
  <c r="F22" i="10"/>
  <c r="H89" i="7"/>
  <c r="F172" i="7"/>
  <c r="H276" i="7"/>
  <c r="H277" i="7"/>
  <c r="H268" i="7"/>
  <c r="H35" i="7"/>
  <c r="I35" i="7" s="1"/>
  <c r="H36" i="7"/>
  <c r="I36" i="7" s="1"/>
  <c r="H33" i="7"/>
  <c r="I33" i="7" s="1"/>
  <c r="G32" i="7"/>
  <c r="H32" i="7" s="1"/>
  <c r="I32" i="7" s="1"/>
  <c r="H34" i="7"/>
  <c r="I34" i="7" s="1"/>
  <c r="H18" i="7"/>
  <c r="I18" i="7" s="1"/>
  <c r="H16" i="7"/>
  <c r="I16" i="7" s="1"/>
  <c r="G15" i="7"/>
  <c r="H17" i="7"/>
  <c r="I17" i="7" s="1"/>
  <c r="H15" i="7" l="1"/>
  <c r="I15" i="7" s="1"/>
  <c r="G14" i="7"/>
  <c r="H14" i="7" l="1"/>
  <c r="I14" i="7" s="1"/>
  <c r="G13" i="7"/>
  <c r="H13" i="7" s="1"/>
  <c r="I13" i="7" s="1"/>
  <c r="G315" i="7" l="1"/>
  <c r="G311" i="7"/>
  <c r="G304" i="7"/>
  <c r="G295" i="7"/>
  <c r="G290" i="7"/>
  <c r="G286" i="7"/>
  <c r="F117" i="7"/>
  <c r="F116" i="7" s="1"/>
  <c r="F115" i="7" s="1"/>
  <c r="F114" i="7" s="1"/>
  <c r="G117" i="7"/>
  <c r="G116" i="7" s="1"/>
  <c r="G115" i="7" s="1"/>
  <c r="G114" i="7" s="1"/>
  <c r="H117" i="7"/>
  <c r="H116" i="7" s="1"/>
  <c r="H176" i="7"/>
  <c r="G176" i="7"/>
  <c r="H161" i="7"/>
  <c r="G161" i="7"/>
  <c r="H158" i="7"/>
  <c r="H157" i="7" s="1"/>
  <c r="G60" i="7"/>
  <c r="G51" i="7"/>
  <c r="G43" i="7"/>
  <c r="G42" i="7" s="1"/>
  <c r="G285" i="7" l="1"/>
  <c r="I176" i="7"/>
  <c r="I161" i="7"/>
  <c r="H451" i="7" l="1"/>
  <c r="G451" i="7"/>
  <c r="F451" i="7"/>
  <c r="H450" i="7"/>
  <c r="G450" i="7"/>
  <c r="F450" i="7"/>
  <c r="E450" i="7"/>
  <c r="I449" i="7"/>
  <c r="H447" i="7"/>
  <c r="G447" i="7"/>
  <c r="F447" i="7"/>
  <c r="H446" i="7"/>
  <c r="G446" i="7"/>
  <c r="F446" i="7"/>
  <c r="E446" i="7"/>
  <c r="E445" i="7" s="1"/>
  <c r="H442" i="7"/>
  <c r="G442" i="7"/>
  <c r="F442" i="7"/>
  <c r="H441" i="7"/>
  <c r="G441" i="7"/>
  <c r="G440" i="7" s="1"/>
  <c r="G439" i="7" s="1"/>
  <c r="F441" i="7"/>
  <c r="F440" i="7" s="1"/>
  <c r="F439" i="7" s="1"/>
  <c r="E441" i="7"/>
  <c r="E440" i="7"/>
  <c r="E439" i="7" s="1"/>
  <c r="H542" i="7"/>
  <c r="E65" i="9" s="1"/>
  <c r="G542" i="7"/>
  <c r="D65" i="9" s="1"/>
  <c r="I542" i="7"/>
  <c r="F542" i="7"/>
  <c r="I447" i="7" l="1"/>
  <c r="I442" i="7"/>
  <c r="H445" i="7"/>
  <c r="H444" i="7" s="1"/>
  <c r="I446" i="7"/>
  <c r="I451" i="7"/>
  <c r="F445" i="7"/>
  <c r="F444" i="7" s="1"/>
  <c r="I441" i="7"/>
  <c r="G445" i="7"/>
  <c r="I450" i="7"/>
  <c r="H440" i="7"/>
  <c r="H366" i="7"/>
  <c r="H287" i="7"/>
  <c r="H296" i="7"/>
  <c r="E317" i="7"/>
  <c r="I445" i="7" l="1"/>
  <c r="I440" i="7"/>
  <c r="H439" i="7"/>
  <c r="G509" i="7"/>
  <c r="D23" i="9" s="1"/>
  <c r="I439" i="7" l="1"/>
  <c r="I539" i="7"/>
  <c r="H539" i="7"/>
  <c r="E60" i="9" s="1"/>
  <c r="G539" i="7"/>
  <c r="D60" i="9" s="1"/>
  <c r="F539" i="7"/>
  <c r="G537" i="7"/>
  <c r="D56" i="9" s="1"/>
  <c r="I524" i="7"/>
  <c r="H524" i="7"/>
  <c r="E40" i="9" s="1"/>
  <c r="G524" i="7"/>
  <c r="D40" i="9" s="1"/>
  <c r="F524" i="7"/>
  <c r="I523" i="7"/>
  <c r="H523" i="7"/>
  <c r="E39" i="9" s="1"/>
  <c r="G523" i="7"/>
  <c r="D39" i="9" s="1"/>
  <c r="F523" i="7"/>
  <c r="I505" i="7"/>
  <c r="H505" i="7"/>
  <c r="E18" i="9" s="1"/>
  <c r="F505" i="7"/>
  <c r="I503" i="7"/>
  <c r="H503" i="7"/>
  <c r="G503" i="7"/>
  <c r="F503" i="7"/>
  <c r="I502" i="7"/>
  <c r="H502" i="7"/>
  <c r="E14" i="9" s="1"/>
  <c r="G502" i="7"/>
  <c r="D14" i="9" s="1"/>
  <c r="F502" i="7"/>
  <c r="I501" i="7"/>
  <c r="H501" i="7"/>
  <c r="E13" i="9" s="1"/>
  <c r="G501" i="7"/>
  <c r="D13" i="9" s="1"/>
  <c r="F501" i="7"/>
  <c r="I500" i="7"/>
  <c r="H500" i="7"/>
  <c r="E11" i="9" s="1"/>
  <c r="G500" i="7"/>
  <c r="D11" i="9" s="1"/>
  <c r="D10" i="9" s="1"/>
  <c r="F500" i="7"/>
  <c r="I499" i="7"/>
  <c r="H499" i="7"/>
  <c r="E9" i="9" s="1"/>
  <c r="G499" i="7"/>
  <c r="F499" i="7"/>
  <c r="G98" i="7"/>
  <c r="G97" i="7" s="1"/>
  <c r="G366" i="7"/>
  <c r="G365" i="7" s="1"/>
  <c r="E367" i="7"/>
  <c r="E364" i="7"/>
  <c r="E368" i="7"/>
  <c r="E365" i="7" s="1"/>
  <c r="H365" i="7"/>
  <c r="F366" i="7"/>
  <c r="F365" i="7" s="1"/>
  <c r="E363" i="7"/>
  <c r="H362" i="7"/>
  <c r="G362" i="7"/>
  <c r="F362" i="7"/>
  <c r="E361" i="7"/>
  <c r="H360" i="7"/>
  <c r="G360" i="7"/>
  <c r="F360" i="7"/>
  <c r="E359" i="7"/>
  <c r="E357" i="7" s="1"/>
  <c r="H358" i="7"/>
  <c r="G358" i="7"/>
  <c r="F358" i="7"/>
  <c r="G337" i="7"/>
  <c r="G263" i="7"/>
  <c r="G247" i="7"/>
  <c r="H239" i="7"/>
  <c r="G239" i="7"/>
  <c r="E243" i="7"/>
  <c r="G153" i="7"/>
  <c r="G505" i="7"/>
  <c r="D18" i="9" s="1"/>
  <c r="E99" i="7"/>
  <c r="E97" i="7" s="1"/>
  <c r="E96" i="7" s="1"/>
  <c r="E95" i="7" s="1"/>
  <c r="E94" i="7" s="1"/>
  <c r="E106" i="7"/>
  <c r="H357" i="7" l="1"/>
  <c r="H356" i="7" s="1"/>
  <c r="H355" i="7" s="1"/>
  <c r="H354" i="7" s="1"/>
  <c r="D12" i="9"/>
  <c r="I358" i="7"/>
  <c r="D9" i="9"/>
  <c r="D8" i="9" s="1"/>
  <c r="F357" i="7"/>
  <c r="F356" i="7" s="1"/>
  <c r="F355" i="7" s="1"/>
  <c r="F354" i="7" s="1"/>
  <c r="I366" i="7"/>
  <c r="I362" i="7"/>
  <c r="G357" i="7"/>
  <c r="G356" i="7" s="1"/>
  <c r="G355" i="7" s="1"/>
  <c r="G354" i="7" s="1"/>
  <c r="I360" i="7"/>
  <c r="D7" i="9" l="1"/>
  <c r="I365" i="7"/>
  <c r="I357" i="7"/>
  <c r="C8" i="8" l="1"/>
  <c r="C7" i="8" s="1"/>
  <c r="C16" i="9"/>
  <c r="F546" i="7"/>
  <c r="F545" i="7"/>
  <c r="F544" i="7"/>
  <c r="F543" i="7"/>
  <c r="F541" i="7"/>
  <c r="F540" i="7"/>
  <c r="F537" i="7"/>
  <c r="F536" i="7"/>
  <c r="F534" i="7"/>
  <c r="F532" i="7"/>
  <c r="F531" i="7"/>
  <c r="F529" i="7"/>
  <c r="F528" i="7"/>
  <c r="F527" i="7"/>
  <c r="F526" i="7"/>
  <c r="F525" i="7"/>
  <c r="F522" i="7"/>
  <c r="F521" i="7"/>
  <c r="F520" i="7"/>
  <c r="F519" i="7"/>
  <c r="F518" i="7"/>
  <c r="F517" i="7"/>
  <c r="F516" i="7"/>
  <c r="F515" i="7"/>
  <c r="F514" i="7"/>
  <c r="F513" i="7"/>
  <c r="F512" i="7"/>
  <c r="F511" i="7"/>
  <c r="F510" i="7"/>
  <c r="F509" i="7"/>
  <c r="F508" i="7"/>
  <c r="F507" i="7"/>
  <c r="F506" i="7"/>
  <c r="F504" i="7"/>
  <c r="F436" i="7"/>
  <c r="F435" i="7"/>
  <c r="F465" i="7" s="1"/>
  <c r="F432" i="7"/>
  <c r="F431" i="7"/>
  <c r="F427" i="7"/>
  <c r="F426" i="7"/>
  <c r="F425" i="7" s="1"/>
  <c r="F424" i="7" s="1"/>
  <c r="F421" i="7"/>
  <c r="F420" i="7"/>
  <c r="F419" i="7" s="1"/>
  <c r="F416" i="7"/>
  <c r="F415" i="7"/>
  <c r="F414" i="7" s="1"/>
  <c r="F411" i="7"/>
  <c r="F410" i="7"/>
  <c r="F409" i="7" s="1"/>
  <c r="F408" i="7" s="1"/>
  <c r="F403" i="7"/>
  <c r="F402" i="7" s="1"/>
  <c r="F401" i="7" s="1"/>
  <c r="F480" i="7" s="1"/>
  <c r="F399" i="7"/>
  <c r="F398" i="7"/>
  <c r="F397" i="7" s="1"/>
  <c r="F394" i="7"/>
  <c r="F389" i="7"/>
  <c r="F383" i="7"/>
  <c r="F382" i="7"/>
  <c r="F381" i="7" s="1"/>
  <c r="F380" i="7" s="1"/>
  <c r="F378" i="7"/>
  <c r="F377" i="7"/>
  <c r="F376" i="7" s="1"/>
  <c r="F373" i="7"/>
  <c r="F372" i="7"/>
  <c r="F371" i="7" s="1"/>
  <c r="F352" i="7"/>
  <c r="F351" i="7"/>
  <c r="F348" i="7"/>
  <c r="F346" i="7"/>
  <c r="F344" i="7"/>
  <c r="F340" i="7"/>
  <c r="F338" i="7"/>
  <c r="F336" i="7"/>
  <c r="F330" i="7"/>
  <c r="F329" i="7"/>
  <c r="F328" i="7" s="1"/>
  <c r="F326" i="7"/>
  <c r="F324" i="7"/>
  <c r="F323" i="7"/>
  <c r="F322" i="7" s="1"/>
  <c r="F319" i="7"/>
  <c r="F315" i="7"/>
  <c r="F314" i="7" s="1"/>
  <c r="F311" i="7"/>
  <c r="F310" i="7"/>
  <c r="F295" i="7"/>
  <c r="F290" i="7"/>
  <c r="F286" i="7"/>
  <c r="F285" i="7" s="1"/>
  <c r="F281" i="7"/>
  <c r="F280" i="7"/>
  <c r="F279" i="7" s="1"/>
  <c r="F270" i="7"/>
  <c r="F267" i="7" s="1"/>
  <c r="F266" i="7" s="1"/>
  <c r="F263" i="7"/>
  <c r="F259" i="7"/>
  <c r="F254" i="7"/>
  <c r="F253" i="7"/>
  <c r="F250" i="7"/>
  <c r="F247" i="7"/>
  <c r="F244" i="7"/>
  <c r="F239" i="7"/>
  <c r="F235" i="7"/>
  <c r="F228" i="7"/>
  <c r="F227" i="7"/>
  <c r="F226" i="7" s="1"/>
  <c r="F225" i="7" s="1"/>
  <c r="F223" i="7"/>
  <c r="F222" i="7"/>
  <c r="F221" i="7" s="1"/>
  <c r="F220" i="7" s="1"/>
  <c r="F219" i="7" s="1"/>
  <c r="F218" i="7" s="1"/>
  <c r="F216" i="7"/>
  <c r="F215" i="7"/>
  <c r="F214" i="7" s="1"/>
  <c r="F213" i="7" s="1"/>
  <c r="F212" i="7" s="1"/>
  <c r="F210" i="7"/>
  <c r="F209" i="7" s="1"/>
  <c r="F208" i="7" s="1"/>
  <c r="F207" i="7" s="1"/>
  <c r="F205" i="7" s="1"/>
  <c r="F204" i="7"/>
  <c r="F467" i="7" s="1"/>
  <c r="F197" i="7"/>
  <c r="F196" i="7" s="1"/>
  <c r="F195" i="7"/>
  <c r="F194" i="7" s="1"/>
  <c r="F193" i="7" s="1"/>
  <c r="F189" i="7"/>
  <c r="F188" i="7"/>
  <c r="F186" i="7"/>
  <c r="F184" i="7"/>
  <c r="F182" i="7"/>
  <c r="F170" i="7"/>
  <c r="F168" i="7"/>
  <c r="F166" i="7"/>
  <c r="F158" i="7"/>
  <c r="F157" i="7" s="1"/>
  <c r="F155" i="7"/>
  <c r="F153" i="7"/>
  <c r="F151" i="7"/>
  <c r="F144" i="7"/>
  <c r="F143" i="7"/>
  <c r="F141" i="7"/>
  <c r="F139" i="7"/>
  <c r="F137" i="7"/>
  <c r="F131" i="7"/>
  <c r="F130" i="7"/>
  <c r="F128" i="7"/>
  <c r="F126" i="7"/>
  <c r="F124" i="7"/>
  <c r="F113" i="7"/>
  <c r="F111" i="7"/>
  <c r="F110" i="7"/>
  <c r="F109" i="7" s="1"/>
  <c r="F108" i="7" s="1"/>
  <c r="F107" i="7" s="1"/>
  <c r="F104" i="7"/>
  <c r="F103" i="7"/>
  <c r="F102" i="7" s="1"/>
  <c r="F101" i="7" s="1"/>
  <c r="F100" i="7" s="1"/>
  <c r="F91" i="7"/>
  <c r="F87" i="7"/>
  <c r="F84" i="7"/>
  <c r="F72" i="7"/>
  <c r="F71" i="7"/>
  <c r="F70" i="7" s="1"/>
  <c r="F69" i="7" s="1"/>
  <c r="F68" i="7" s="1"/>
  <c r="F66" i="7"/>
  <c r="F65" i="7"/>
  <c r="F60" i="7"/>
  <c r="F51" i="7"/>
  <c r="F43" i="7"/>
  <c r="F30" i="7"/>
  <c r="F29" i="7"/>
  <c r="F28" i="7" s="1"/>
  <c r="F27" i="7" s="1"/>
  <c r="F479" i="7" s="1"/>
  <c r="F25" i="7"/>
  <c r="F24" i="7"/>
  <c r="F23" i="7" s="1"/>
  <c r="F22" i="7" s="1"/>
  <c r="F11" i="7"/>
  <c r="F10" i="7"/>
  <c r="F464" i="7" s="1"/>
  <c r="F83" i="7" l="1"/>
  <c r="F150" i="7"/>
  <c r="F149" i="7" s="1"/>
  <c r="F148" i="7" s="1"/>
  <c r="F463" i="7"/>
  <c r="F9" i="7"/>
  <c r="F8" i="7" s="1"/>
  <c r="F7" i="7" s="1"/>
  <c r="F6" i="7" s="1"/>
  <c r="F203" i="7"/>
  <c r="F202" i="7" s="1"/>
  <c r="F201" i="7" s="1"/>
  <c r="F192" i="7" s="1"/>
  <c r="F313" i="7"/>
  <c r="F343" i="7"/>
  <c r="F98" i="7"/>
  <c r="F97" i="7"/>
  <c r="F96" i="7" s="1"/>
  <c r="F95" i="7" s="1"/>
  <c r="F94" i="7" s="1"/>
  <c r="F165" i="7"/>
  <c r="F164" i="7" s="1"/>
  <c r="F163" i="7" s="1"/>
  <c r="F473" i="7" s="1"/>
  <c r="F181" i="7"/>
  <c r="F180" i="7" s="1"/>
  <c r="F179" i="7" s="1"/>
  <c r="F178" i="7" s="1"/>
  <c r="F335" i="7"/>
  <c r="F466" i="7"/>
  <c r="F136" i="7"/>
  <c r="F135" i="7" s="1"/>
  <c r="F134" i="7" s="1"/>
  <c r="F284" i="7"/>
  <c r="F283" i="7" s="1"/>
  <c r="F413" i="7"/>
  <c r="F407" i="7" s="1"/>
  <c r="F258" i="7"/>
  <c r="F257" i="7" s="1"/>
  <c r="F321" i="7"/>
  <c r="F478" i="7" s="1"/>
  <c r="C39" i="10" s="1"/>
  <c r="C40" i="10" s="1"/>
  <c r="F370" i="7"/>
  <c r="F42" i="7"/>
  <c r="F430" i="7"/>
  <c r="F429" i="7" s="1"/>
  <c r="F423" i="7" s="1"/>
  <c r="F82" i="7"/>
  <c r="F80" i="7" s="1"/>
  <c r="C20" i="5" s="1"/>
  <c r="F234" i="7"/>
  <c r="F233" i="7" s="1"/>
  <c r="F123" i="7"/>
  <c r="F122" i="7" s="1"/>
  <c r="F121" i="7" s="1"/>
  <c r="F388" i="7"/>
  <c r="F387" i="7" s="1"/>
  <c r="F386" i="7" s="1"/>
  <c r="F475" i="7"/>
  <c r="F21" i="7"/>
  <c r="G254" i="7"/>
  <c r="G66" i="7"/>
  <c r="H66" i="7"/>
  <c r="H254" i="7"/>
  <c r="G352" i="7"/>
  <c r="F20" i="7" l="1"/>
  <c r="C18" i="5"/>
  <c r="F147" i="7"/>
  <c r="F232" i="7"/>
  <c r="F265" i="7"/>
  <c r="F476" i="7" s="1"/>
  <c r="C31" i="10" s="1"/>
  <c r="C32" i="10" s="1"/>
  <c r="F469" i="7"/>
  <c r="C7" i="10" s="1"/>
  <c r="F334" i="7"/>
  <c r="F333" i="7" s="1"/>
  <c r="F332" i="7" s="1"/>
  <c r="F472" i="7"/>
  <c r="F474" i="7"/>
  <c r="C27" i="10" s="1"/>
  <c r="C28" i="10" s="1"/>
  <c r="F120" i="7"/>
  <c r="F369" i="7"/>
  <c r="C22" i="5" s="1"/>
  <c r="F460" i="7"/>
  <c r="F81" i="7"/>
  <c r="F471" i="7" s="1"/>
  <c r="F41" i="7"/>
  <c r="F40" i="7" s="1"/>
  <c r="F461" i="7"/>
  <c r="I434" i="7"/>
  <c r="H11" i="7"/>
  <c r="G11" i="7"/>
  <c r="H436" i="7"/>
  <c r="G436" i="7"/>
  <c r="H432" i="7"/>
  <c r="G432" i="7"/>
  <c r="H427" i="7"/>
  <c r="G427" i="7"/>
  <c r="H411" i="7"/>
  <c r="G411" i="7"/>
  <c r="H421" i="7"/>
  <c r="G421" i="7"/>
  <c r="H416" i="7"/>
  <c r="G416" i="7"/>
  <c r="G399" i="7"/>
  <c r="H399" i="7"/>
  <c r="G389" i="7"/>
  <c r="H389" i="7"/>
  <c r="H394" i="7"/>
  <c r="G394" i="7"/>
  <c r="H383" i="7"/>
  <c r="G383" i="7"/>
  <c r="H378" i="7"/>
  <c r="G378" i="7"/>
  <c r="G373" i="7"/>
  <c r="G372" i="7" s="1"/>
  <c r="H373" i="7"/>
  <c r="H352" i="7"/>
  <c r="G348" i="7"/>
  <c r="H348" i="7"/>
  <c r="G346" i="7"/>
  <c r="H346" i="7"/>
  <c r="G344" i="7"/>
  <c r="H344" i="7"/>
  <c r="G340" i="7"/>
  <c r="H340" i="7"/>
  <c r="H338" i="7"/>
  <c r="G338" i="7"/>
  <c r="H336" i="7"/>
  <c r="G336" i="7"/>
  <c r="G330" i="7"/>
  <c r="H330" i="7"/>
  <c r="G326" i="7"/>
  <c r="H326" i="7"/>
  <c r="G324" i="7"/>
  <c r="H324" i="7"/>
  <c r="H315" i="7"/>
  <c r="H319" i="7"/>
  <c r="G319" i="7"/>
  <c r="G314" i="7" s="1"/>
  <c r="G313" i="7" s="1"/>
  <c r="H311" i="7"/>
  <c r="H304" i="7"/>
  <c r="H295" i="7"/>
  <c r="H290" i="7"/>
  <c r="H286" i="7"/>
  <c r="G270" i="7"/>
  <c r="H270" i="7"/>
  <c r="H281" i="7"/>
  <c r="G281" i="7"/>
  <c r="H273" i="7"/>
  <c r="G273" i="7"/>
  <c r="G259" i="7"/>
  <c r="H259" i="7"/>
  <c r="H263" i="7"/>
  <c r="G250" i="7"/>
  <c r="H250" i="7"/>
  <c r="H247" i="7"/>
  <c r="G244" i="7"/>
  <c r="H244" i="7"/>
  <c r="G235" i="7"/>
  <c r="H235" i="7"/>
  <c r="G223" i="7"/>
  <c r="H223" i="7"/>
  <c r="G228" i="7"/>
  <c r="H228" i="7"/>
  <c r="G216" i="7"/>
  <c r="H216" i="7"/>
  <c r="H197" i="7"/>
  <c r="G197" i="7"/>
  <c r="G182" i="7"/>
  <c r="H182" i="7"/>
  <c r="G184" i="7"/>
  <c r="H184" i="7"/>
  <c r="G186" i="7"/>
  <c r="H186" i="7"/>
  <c r="E188" i="7"/>
  <c r="G188" i="7"/>
  <c r="H188" i="7"/>
  <c r="I188" i="7"/>
  <c r="G189" i="7"/>
  <c r="H189" i="7"/>
  <c r="H173" i="7"/>
  <c r="G173" i="7"/>
  <c r="H170" i="7"/>
  <c r="G170" i="7"/>
  <c r="H168" i="7"/>
  <c r="G168" i="7"/>
  <c r="H166" i="7"/>
  <c r="G166" i="7"/>
  <c r="G158" i="7"/>
  <c r="H155" i="7"/>
  <c r="G155" i="7"/>
  <c r="H153" i="7"/>
  <c r="H151" i="7"/>
  <c r="G151" i="7"/>
  <c r="H144" i="7"/>
  <c r="G144" i="7"/>
  <c r="H141" i="7"/>
  <c r="G141" i="7"/>
  <c r="H139" i="7"/>
  <c r="G139" i="7"/>
  <c r="H137" i="7"/>
  <c r="G137" i="7"/>
  <c r="H131" i="7"/>
  <c r="G131" i="7"/>
  <c r="G124" i="7"/>
  <c r="H124" i="7"/>
  <c r="H128" i="7"/>
  <c r="G128" i="7"/>
  <c r="H126" i="7"/>
  <c r="G126" i="7"/>
  <c r="G111" i="7"/>
  <c r="H111" i="7"/>
  <c r="G104" i="7"/>
  <c r="H104" i="7"/>
  <c r="I104" i="7" s="1"/>
  <c r="G91" i="7"/>
  <c r="H91" i="7"/>
  <c r="G87" i="7"/>
  <c r="H87" i="7"/>
  <c r="G84" i="7"/>
  <c r="H84" i="7"/>
  <c r="G72" i="7"/>
  <c r="H72" i="7"/>
  <c r="H30" i="7"/>
  <c r="G30" i="7"/>
  <c r="G25" i="7"/>
  <c r="H25" i="7"/>
  <c r="H43" i="7"/>
  <c r="H51" i="7"/>
  <c r="H60" i="7"/>
  <c r="H150" i="7" l="1"/>
  <c r="H149" i="7" s="1"/>
  <c r="H148" i="7" s="1"/>
  <c r="C8" i="10"/>
  <c r="H314" i="7"/>
  <c r="F79" i="7"/>
  <c r="H285" i="7"/>
  <c r="F438" i="7"/>
  <c r="H165" i="7"/>
  <c r="F477" i="7"/>
  <c r="C35" i="10" s="1"/>
  <c r="C36" i="10" s="1"/>
  <c r="H343" i="7"/>
  <c r="H234" i="7"/>
  <c r="F231" i="7"/>
  <c r="C20" i="10"/>
  <c r="G150" i="7"/>
  <c r="F468" i="7"/>
  <c r="F39" i="7"/>
  <c r="F38" i="7" s="1"/>
  <c r="F470" i="7"/>
  <c r="C11" i="10"/>
  <c r="C10" i="10"/>
  <c r="I336" i="7"/>
  <c r="I378" i="7"/>
  <c r="I373" i="7"/>
  <c r="I11" i="7"/>
  <c r="I91" i="7"/>
  <c r="I311" i="7"/>
  <c r="I399" i="7"/>
  <c r="I421" i="7"/>
  <c r="I427" i="7"/>
  <c r="I436" i="7"/>
  <c r="G335" i="7"/>
  <c r="I66" i="7"/>
  <c r="I124" i="7"/>
  <c r="I137" i="7"/>
  <c r="I60" i="7"/>
  <c r="I72" i="7"/>
  <c r="I87" i="7"/>
  <c r="I128" i="7"/>
  <c r="I197" i="7"/>
  <c r="I228" i="7"/>
  <c r="I235" i="7"/>
  <c r="I273" i="7"/>
  <c r="I319" i="7"/>
  <c r="G343" i="7"/>
  <c r="I411" i="7"/>
  <c r="I151" i="7"/>
  <c r="I394" i="7"/>
  <c r="I43" i="7"/>
  <c r="I111" i="7"/>
  <c r="I126" i="7"/>
  <c r="I216" i="7"/>
  <c r="I281" i="7"/>
  <c r="I286" i="7"/>
  <c r="I352" i="7"/>
  <c r="I173" i="7"/>
  <c r="G388" i="7"/>
  <c r="I30" i="7"/>
  <c r="I131" i="7"/>
  <c r="I139" i="7"/>
  <c r="I144" i="7"/>
  <c r="I153" i="7"/>
  <c r="I158" i="7"/>
  <c r="I168" i="7"/>
  <c r="G267" i="7"/>
  <c r="H267" i="7"/>
  <c r="I324" i="7"/>
  <c r="I330" i="7"/>
  <c r="I348" i="7"/>
  <c r="H388" i="7"/>
  <c r="I383" i="7"/>
  <c r="I416" i="7"/>
  <c r="I141" i="7"/>
  <c r="I155" i="7"/>
  <c r="I166" i="7"/>
  <c r="I170" i="7"/>
  <c r="I315" i="7"/>
  <c r="I326" i="7"/>
  <c r="I340" i="7"/>
  <c r="I432" i="7"/>
  <c r="I51" i="7"/>
  <c r="I84" i="7"/>
  <c r="I223" i="7"/>
  <c r="I239" i="7"/>
  <c r="I254" i="7"/>
  <c r="I259" i="7"/>
  <c r="I295" i="7"/>
  <c r="I338" i="7"/>
  <c r="I389" i="7"/>
  <c r="I189" i="7"/>
  <c r="H42" i="7"/>
  <c r="H335" i="7"/>
  <c r="I344" i="7"/>
  <c r="I270" i="7"/>
  <c r="I346" i="7"/>
  <c r="I290" i="7"/>
  <c r="I263" i="7"/>
  <c r="G258" i="7"/>
  <c r="I247" i="7"/>
  <c r="I186" i="7"/>
  <c r="G234" i="7"/>
  <c r="I244" i="7"/>
  <c r="I250" i="7"/>
  <c r="H258" i="7"/>
  <c r="G181" i="7"/>
  <c r="G180" i="7" s="1"/>
  <c r="G179" i="7" s="1"/>
  <c r="G178" i="7" s="1"/>
  <c r="H181" i="7"/>
  <c r="H180" i="7" s="1"/>
  <c r="H179" i="7" s="1"/>
  <c r="H178" i="7" s="1"/>
  <c r="G83" i="7"/>
  <c r="G136" i="7"/>
  <c r="I182" i="7"/>
  <c r="I25" i="7"/>
  <c r="I184" i="7"/>
  <c r="G123" i="7"/>
  <c r="G165" i="7"/>
  <c r="H123" i="7"/>
  <c r="H83" i="7"/>
  <c r="H136" i="7"/>
  <c r="F230" i="7" l="1"/>
  <c r="F4" i="7" s="1"/>
  <c r="I178" i="7"/>
  <c r="I181" i="7"/>
  <c r="I180" i="7" s="1"/>
  <c r="I179" i="7" s="1"/>
  <c r="C12" i="10"/>
  <c r="C14" i="10"/>
  <c r="C41" i="10" s="1"/>
  <c r="C15" i="10"/>
  <c r="C42" i="10" s="1"/>
  <c r="F482" i="7"/>
  <c r="I335" i="7"/>
  <c r="I42" i="7"/>
  <c r="I343" i="7"/>
  <c r="I83" i="7"/>
  <c r="I314" i="7"/>
  <c r="I388" i="7"/>
  <c r="I123" i="7"/>
  <c r="I267" i="7"/>
  <c r="I136" i="7"/>
  <c r="I234" i="7"/>
  <c r="I258" i="7"/>
  <c r="I165" i="7"/>
  <c r="I150" i="7"/>
  <c r="C16" i="10" l="1"/>
  <c r="C43" i="10"/>
  <c r="D28" i="8"/>
  <c r="D18" i="8"/>
  <c r="J20" i="1" l="1"/>
  <c r="J19" i="1"/>
  <c r="E15" i="8"/>
  <c r="D15" i="8"/>
  <c r="C15" i="8"/>
  <c r="C24" i="8"/>
  <c r="D24" i="8"/>
  <c r="E24" i="8"/>
  <c r="D8" i="10" l="1"/>
  <c r="F6" i="10"/>
  <c r="C33" i="8"/>
  <c r="C32" i="8"/>
  <c r="C31" i="8" s="1"/>
  <c r="C28" i="8"/>
  <c r="C27" i="8" s="1"/>
  <c r="C21" i="8"/>
  <c r="C20" i="8" s="1"/>
  <c r="C18" i="8"/>
  <c r="C17" i="8" s="1"/>
  <c r="C13" i="8"/>
  <c r="C12" i="8" s="1"/>
  <c r="C70" i="9"/>
  <c r="C69" i="9" s="1"/>
  <c r="C67" i="9"/>
  <c r="C61" i="9"/>
  <c r="C59" i="9"/>
  <c r="C54" i="9"/>
  <c r="C53" i="9" s="1"/>
  <c r="C51" i="9"/>
  <c r="C50" i="9" s="1"/>
  <c r="C47" i="9"/>
  <c r="C46" i="9" s="1"/>
  <c r="C38" i="9"/>
  <c r="C28" i="9"/>
  <c r="C21" i="9"/>
  <c r="C12" i="9"/>
  <c r="C10" i="9"/>
  <c r="C8" i="9"/>
  <c r="G38" i="10"/>
  <c r="F34" i="10"/>
  <c r="G30" i="10"/>
  <c r="G26" i="10"/>
  <c r="K10" i="10"/>
  <c r="K6" i="10"/>
  <c r="I6" i="10"/>
  <c r="G6" i="10"/>
  <c r="E59" i="9"/>
  <c r="D59" i="9"/>
  <c r="F18" i="9"/>
  <c r="F14" i="9"/>
  <c r="E12" i="9"/>
  <c r="F11" i="9"/>
  <c r="E10" i="9"/>
  <c r="F9" i="9"/>
  <c r="E8" i="9"/>
  <c r="E33" i="8"/>
  <c r="E32" i="8" s="1"/>
  <c r="E31" i="8" s="1"/>
  <c r="D33" i="8"/>
  <c r="D32" i="8" s="1"/>
  <c r="D31" i="8" s="1"/>
  <c r="E28" i="8"/>
  <c r="E27" i="8" s="1"/>
  <c r="D27" i="8"/>
  <c r="F25" i="8"/>
  <c r="F23" i="8"/>
  <c r="E21" i="8"/>
  <c r="E20" i="8" s="1"/>
  <c r="D21" i="8"/>
  <c r="D20" i="8" s="1"/>
  <c r="E18" i="8"/>
  <c r="E17" i="8" s="1"/>
  <c r="D17" i="8"/>
  <c r="E13" i="8"/>
  <c r="E12" i="8" s="1"/>
  <c r="D13" i="8"/>
  <c r="D12" i="8" s="1"/>
  <c r="F9" i="8"/>
  <c r="C6" i="8" l="1"/>
  <c r="G12" i="9"/>
  <c r="G10" i="9"/>
  <c r="G27" i="8"/>
  <c r="E7" i="9"/>
  <c r="F12" i="9"/>
  <c r="G28" i="8"/>
  <c r="F8" i="8"/>
  <c r="G21" i="8"/>
  <c r="G18" i="8"/>
  <c r="M6" i="10"/>
  <c r="C58" i="9"/>
  <c r="C57" i="9" s="1"/>
  <c r="F13" i="1" s="1"/>
  <c r="C15" i="9"/>
  <c r="C7" i="9"/>
  <c r="F12" i="8"/>
  <c r="F30" i="10"/>
  <c r="G34" i="10"/>
  <c r="F26" i="10"/>
  <c r="F38" i="10"/>
  <c r="F10" i="9"/>
  <c r="F13" i="9"/>
  <c r="F8" i="9"/>
  <c r="G8" i="9"/>
  <c r="F18" i="8"/>
  <c r="F17" i="8"/>
  <c r="F28" i="8"/>
  <c r="F27" i="8"/>
  <c r="F13" i="8"/>
  <c r="G20" i="8"/>
  <c r="G24" i="8"/>
  <c r="G17" i="8"/>
  <c r="F19" i="8"/>
  <c r="F29" i="8"/>
  <c r="E7" i="8"/>
  <c r="E6" i="8" s="1"/>
  <c r="F14" i="8"/>
  <c r="F24" i="8"/>
  <c r="G7" i="9" l="1"/>
  <c r="E5" i="8"/>
  <c r="H9" i="1"/>
  <c r="C5" i="8"/>
  <c r="F9" i="1"/>
  <c r="C6" i="9"/>
  <c r="F21" i="8"/>
  <c r="F20" i="8"/>
  <c r="G7" i="8"/>
  <c r="F7" i="8"/>
  <c r="C5" i="9" l="1"/>
  <c r="F12" i="1"/>
  <c r="F7" i="9"/>
  <c r="F5" i="8"/>
  <c r="H426" i="7" l="1"/>
  <c r="H435" i="7"/>
  <c r="H431" i="7"/>
  <c r="G435" i="7"/>
  <c r="E435" i="7"/>
  <c r="H420" i="7"/>
  <c r="H415" i="7"/>
  <c r="H410" i="7"/>
  <c r="H403" i="7"/>
  <c r="H402" i="7" s="1"/>
  <c r="H401" i="7" s="1"/>
  <c r="H398" i="7"/>
  <c r="H387" i="7"/>
  <c r="H372" i="7"/>
  <c r="H382" i="7"/>
  <c r="G323" i="7"/>
  <c r="H323" i="7"/>
  <c r="I435" i="7" l="1"/>
  <c r="H397" i="7"/>
  <c r="H386" i="7" s="1"/>
  <c r="H414" i="7"/>
  <c r="H322" i="7"/>
  <c r="I323" i="7"/>
  <c r="H409" i="7"/>
  <c r="H381" i="7"/>
  <c r="H371" i="7"/>
  <c r="I372" i="7"/>
  <c r="H419" i="7"/>
  <c r="H425" i="7"/>
  <c r="H430" i="7"/>
  <c r="H143" i="7"/>
  <c r="H130" i="7"/>
  <c r="H329" i="7"/>
  <c r="G329" i="7"/>
  <c r="G328" i="7" s="1"/>
  <c r="E331" i="7"/>
  <c r="E329" i="7" s="1"/>
  <c r="E325" i="7"/>
  <c r="E217" i="7"/>
  <c r="E215" i="7" s="1"/>
  <c r="E214" i="7" s="1"/>
  <c r="E213" i="7" s="1"/>
  <c r="E212" i="7" s="1"/>
  <c r="H215" i="7"/>
  <c r="G215" i="7"/>
  <c r="G214" i="7" s="1"/>
  <c r="G213" i="7" s="1"/>
  <c r="G212" i="7" s="1"/>
  <c r="E200" i="7"/>
  <c r="H29" i="7"/>
  <c r="G29" i="7"/>
  <c r="G28" i="7" s="1"/>
  <c r="G27" i="7" s="1"/>
  <c r="H413" i="7" l="1"/>
  <c r="H28" i="7"/>
  <c r="I29" i="7"/>
  <c r="H424" i="7"/>
  <c r="H380" i="7"/>
  <c r="H408" i="7"/>
  <c r="H214" i="7"/>
  <c r="I215" i="7"/>
  <c r="H328" i="7"/>
  <c r="I329" i="7"/>
  <c r="H429" i="7"/>
  <c r="E328" i="7"/>
  <c r="E326" i="7" s="1"/>
  <c r="E324" i="7"/>
  <c r="G546" i="7"/>
  <c r="D71" i="9" s="1"/>
  <c r="D70" i="9" s="1"/>
  <c r="D69" i="9" s="1"/>
  <c r="H546" i="7"/>
  <c r="E71" i="9" s="1"/>
  <c r="E70" i="9" s="1"/>
  <c r="E69" i="9" s="1"/>
  <c r="I546" i="7"/>
  <c r="G528" i="7"/>
  <c r="D44" i="9" s="1"/>
  <c r="H528" i="7"/>
  <c r="E44" i="9" s="1"/>
  <c r="F44" i="9" s="1"/>
  <c r="I528" i="7"/>
  <c r="G544" i="7"/>
  <c r="D68" i="9" s="1"/>
  <c r="D67" i="9" s="1"/>
  <c r="H544" i="7"/>
  <c r="E68" i="9" s="1"/>
  <c r="I544" i="7"/>
  <c r="G541" i="7"/>
  <c r="D64" i="9" s="1"/>
  <c r="H541" i="7"/>
  <c r="E64" i="9" s="1"/>
  <c r="I541" i="7"/>
  <c r="G532" i="7"/>
  <c r="D49" i="9" s="1"/>
  <c r="H532" i="7"/>
  <c r="E49" i="9" s="1"/>
  <c r="F49" i="9" s="1"/>
  <c r="I532" i="7"/>
  <c r="G515" i="7"/>
  <c r="D30" i="9" s="1"/>
  <c r="H515" i="7"/>
  <c r="E30" i="9" s="1"/>
  <c r="F30" i="9" s="1"/>
  <c r="I515" i="7"/>
  <c r="G511" i="7"/>
  <c r="D25" i="9" s="1"/>
  <c r="H511" i="7"/>
  <c r="E25" i="9" s="1"/>
  <c r="F25" i="9" s="1"/>
  <c r="I511" i="7"/>
  <c r="G545" i="7"/>
  <c r="H545" i="7"/>
  <c r="I545" i="7"/>
  <c r="G543" i="7"/>
  <c r="D66" i="9" s="1"/>
  <c r="H543" i="7"/>
  <c r="E66" i="9" s="1"/>
  <c r="I543" i="7"/>
  <c r="G540" i="7"/>
  <c r="D62" i="9" s="1"/>
  <c r="H540" i="7"/>
  <c r="E62" i="9" s="1"/>
  <c r="I540" i="7"/>
  <c r="G536" i="7"/>
  <c r="D55" i="9" s="1"/>
  <c r="H536" i="7"/>
  <c r="E55" i="9" s="1"/>
  <c r="I536" i="7"/>
  <c r="G534" i="7"/>
  <c r="D52" i="9" s="1"/>
  <c r="D51" i="9" s="1"/>
  <c r="H534" i="7"/>
  <c r="E52" i="9" s="1"/>
  <c r="E51" i="9" s="1"/>
  <c r="E50" i="9" s="1"/>
  <c r="I534" i="7"/>
  <c r="G531" i="7"/>
  <c r="D48" i="9" s="1"/>
  <c r="D47" i="9" s="1"/>
  <c r="H531" i="7"/>
  <c r="E48" i="9" s="1"/>
  <c r="I531" i="7"/>
  <c r="G526" i="7"/>
  <c r="D42" i="9" s="1"/>
  <c r="H526" i="7"/>
  <c r="E42" i="9" s="1"/>
  <c r="F42" i="9" s="1"/>
  <c r="I526" i="7"/>
  <c r="G525" i="7"/>
  <c r="D41" i="9" s="1"/>
  <c r="H525" i="7"/>
  <c r="E41" i="9" s="1"/>
  <c r="I525" i="7"/>
  <c r="G522" i="7"/>
  <c r="D37" i="9" s="1"/>
  <c r="H522" i="7"/>
  <c r="E37" i="9" s="1"/>
  <c r="F37" i="9" s="1"/>
  <c r="I522" i="7"/>
  <c r="G521" i="7"/>
  <c r="D36" i="9" s="1"/>
  <c r="H521" i="7"/>
  <c r="E36" i="9" s="1"/>
  <c r="F36" i="9" s="1"/>
  <c r="I521" i="7"/>
  <c r="G520" i="7"/>
  <c r="D35" i="9" s="1"/>
  <c r="H520" i="7"/>
  <c r="E35" i="9" s="1"/>
  <c r="F35" i="9" s="1"/>
  <c r="I520" i="7"/>
  <c r="G519" i="7"/>
  <c r="D34" i="9" s="1"/>
  <c r="H519" i="7"/>
  <c r="E34" i="9" s="1"/>
  <c r="F34" i="9" s="1"/>
  <c r="I519" i="7"/>
  <c r="G518" i="7"/>
  <c r="D33" i="9" s="1"/>
  <c r="H518" i="7"/>
  <c r="E33" i="9" s="1"/>
  <c r="F33" i="9" s="1"/>
  <c r="I518" i="7"/>
  <c r="G517" i="7"/>
  <c r="D32" i="9" s="1"/>
  <c r="H517" i="7"/>
  <c r="E32" i="9" s="1"/>
  <c r="F32" i="9" s="1"/>
  <c r="I517" i="7"/>
  <c r="G516" i="7"/>
  <c r="D31" i="9" s="1"/>
  <c r="H516" i="7"/>
  <c r="E31" i="9" s="1"/>
  <c r="I516" i="7"/>
  <c r="G514" i="7"/>
  <c r="D29" i="9" s="1"/>
  <c r="H514" i="7"/>
  <c r="E29" i="9" s="1"/>
  <c r="I514" i="7"/>
  <c r="I513" i="7"/>
  <c r="H513" i="7"/>
  <c r="E27" i="9" s="1"/>
  <c r="G513" i="7"/>
  <c r="D27" i="9" s="1"/>
  <c r="I512" i="7"/>
  <c r="H512" i="7"/>
  <c r="E26" i="9" s="1"/>
  <c r="F26" i="9" s="1"/>
  <c r="G512" i="7"/>
  <c r="D26" i="9" s="1"/>
  <c r="I510" i="7"/>
  <c r="H510" i="7"/>
  <c r="E24" i="9" s="1"/>
  <c r="F24" i="9" s="1"/>
  <c r="G510" i="7"/>
  <c r="D24" i="9" s="1"/>
  <c r="I508" i="7"/>
  <c r="H508" i="7"/>
  <c r="E22" i="9" s="1"/>
  <c r="G508" i="7"/>
  <c r="D22" i="9" s="1"/>
  <c r="I507" i="7"/>
  <c r="H507" i="7"/>
  <c r="E20" i="9" s="1"/>
  <c r="F20" i="9" s="1"/>
  <c r="G507" i="7"/>
  <c r="D20" i="9" s="1"/>
  <c r="I506" i="7"/>
  <c r="H506" i="7"/>
  <c r="E19" i="9" s="1"/>
  <c r="F19" i="9" s="1"/>
  <c r="G506" i="7"/>
  <c r="D19" i="9" s="1"/>
  <c r="H407" i="7" l="1"/>
  <c r="H423" i="7"/>
  <c r="D61" i="9"/>
  <c r="D58" i="9" s="1"/>
  <c r="D57" i="9" s="1"/>
  <c r="D54" i="9"/>
  <c r="D53" i="9" s="1"/>
  <c r="F48" i="9"/>
  <c r="E47" i="9"/>
  <c r="G47" i="9" s="1"/>
  <c r="E67" i="9"/>
  <c r="G67" i="9" s="1"/>
  <c r="E61" i="9"/>
  <c r="F22" i="9"/>
  <c r="E28" i="9"/>
  <c r="F28" i="9" s="1"/>
  <c r="F29" i="9"/>
  <c r="F41" i="9"/>
  <c r="D28" i="9"/>
  <c r="D50" i="9"/>
  <c r="G50" i="9" s="1"/>
  <c r="G51" i="9"/>
  <c r="D46" i="9"/>
  <c r="F18" i="5"/>
  <c r="H213" i="7"/>
  <c r="I214" i="7"/>
  <c r="H27" i="7"/>
  <c r="I27" i="7" s="1"/>
  <c r="I28" i="7"/>
  <c r="H321" i="7"/>
  <c r="I328" i="7"/>
  <c r="G431" i="7"/>
  <c r="I431" i="7" s="1"/>
  <c r="E431" i="7"/>
  <c r="E430" i="7" s="1"/>
  <c r="E429" i="7" s="1"/>
  <c r="G426" i="7"/>
  <c r="E426" i="7"/>
  <c r="E425" i="7" s="1"/>
  <c r="E424" i="7" s="1"/>
  <c r="H172" i="7"/>
  <c r="H480" i="7"/>
  <c r="H465" i="7"/>
  <c r="I529" i="7"/>
  <c r="H529" i="7"/>
  <c r="E45" i="9" s="1"/>
  <c r="F45" i="9" s="1"/>
  <c r="I527" i="7"/>
  <c r="H527" i="7"/>
  <c r="E43" i="9" s="1"/>
  <c r="F43" i="9" s="1"/>
  <c r="G527" i="7"/>
  <c r="D43" i="9" s="1"/>
  <c r="I509" i="7"/>
  <c r="H509" i="7"/>
  <c r="E23" i="9" s="1"/>
  <c r="F23" i="9" s="1"/>
  <c r="I537" i="7"/>
  <c r="G61" i="9" l="1"/>
  <c r="G28" i="9"/>
  <c r="E38" i="9"/>
  <c r="F38" i="9" s="1"/>
  <c r="E46" i="9"/>
  <c r="F46" i="9" s="1"/>
  <c r="F47" i="9"/>
  <c r="E21" i="9"/>
  <c r="F21" i="9" s="1"/>
  <c r="F61" i="9"/>
  <c r="E58" i="9"/>
  <c r="G58" i="9" s="1"/>
  <c r="D21" i="9"/>
  <c r="G425" i="7"/>
  <c r="I426" i="7"/>
  <c r="H212" i="7"/>
  <c r="I212" i="7" s="1"/>
  <c r="I213" i="7"/>
  <c r="G529" i="7"/>
  <c r="D45" i="9" s="1"/>
  <c r="D38" i="9" s="1"/>
  <c r="G430" i="7"/>
  <c r="H164" i="7"/>
  <c r="H504" i="7"/>
  <c r="E17" i="9" s="1"/>
  <c r="I504" i="7"/>
  <c r="G504" i="7"/>
  <c r="H537" i="7"/>
  <c r="E56" i="9" s="1"/>
  <c r="E54" i="9" s="1"/>
  <c r="E53" i="9" s="1"/>
  <c r="E423" i="7"/>
  <c r="E116" i="7"/>
  <c r="G110" i="7"/>
  <c r="H110" i="7"/>
  <c r="G548" i="7" l="1"/>
  <c r="G46" i="9"/>
  <c r="E16" i="9"/>
  <c r="F17" i="9"/>
  <c r="E57" i="9"/>
  <c r="G57" i="9" s="1"/>
  <c r="F58" i="9"/>
  <c r="G38" i="9"/>
  <c r="G21" i="9"/>
  <c r="G13" i="1"/>
  <c r="D17" i="9"/>
  <c r="D16" i="9" s="1"/>
  <c r="D15" i="9" s="1"/>
  <c r="D6" i="9" s="1"/>
  <c r="I110" i="7"/>
  <c r="H115" i="7"/>
  <c r="I115" i="7" s="1"/>
  <c r="I116" i="7"/>
  <c r="G424" i="7"/>
  <c r="I424" i="7" s="1"/>
  <c r="I425" i="7"/>
  <c r="G429" i="7"/>
  <c r="I430" i="7"/>
  <c r="I304" i="7"/>
  <c r="I285" i="7"/>
  <c r="C19" i="5"/>
  <c r="C17" i="5"/>
  <c r="C21" i="5"/>
  <c r="G410" i="7"/>
  <c r="E410" i="7"/>
  <c r="E409" i="7" s="1"/>
  <c r="E408" i="7" s="1"/>
  <c r="G420" i="7"/>
  <c r="G415" i="7"/>
  <c r="G403" i="7"/>
  <c r="G402" i="7" s="1"/>
  <c r="G401" i="7" s="1"/>
  <c r="H479" i="7"/>
  <c r="I403" i="7"/>
  <c r="I402" i="7" s="1"/>
  <c r="I401" i="7" s="1"/>
  <c r="E403" i="7"/>
  <c r="E402" i="7" s="1"/>
  <c r="E401" i="7" s="1"/>
  <c r="G398" i="7"/>
  <c r="G387" i="7"/>
  <c r="I387" i="7" s="1"/>
  <c r="G382" i="7"/>
  <c r="G377" i="7"/>
  <c r="G376" i="7" s="1"/>
  <c r="H377" i="7"/>
  <c r="E377" i="7"/>
  <c r="E376" i="7" s="1"/>
  <c r="G371" i="7"/>
  <c r="I371" i="7" s="1"/>
  <c r="E372" i="7"/>
  <c r="E371" i="7" s="1"/>
  <c r="G351" i="7"/>
  <c r="H351" i="7"/>
  <c r="H334" i="7" s="1"/>
  <c r="H333" i="7" s="1"/>
  <c r="H332" i="7" s="1"/>
  <c r="G322" i="7"/>
  <c r="I322" i="7" s="1"/>
  <c r="H313" i="7"/>
  <c r="G310" i="7"/>
  <c r="G284" i="7" s="1"/>
  <c r="G283" i="7" s="1"/>
  <c r="H310" i="7"/>
  <c r="H284" i="7" s="1"/>
  <c r="G280" i="7"/>
  <c r="G279" i="7" s="1"/>
  <c r="H280" i="7"/>
  <c r="H266" i="7"/>
  <c r="G253" i="7"/>
  <c r="H253" i="7"/>
  <c r="H233" i="7" s="1"/>
  <c r="G227" i="7"/>
  <c r="G226" i="7" s="1"/>
  <c r="G225" i="7" s="1"/>
  <c r="H227" i="7"/>
  <c r="E227" i="7"/>
  <c r="E226" i="7" s="1"/>
  <c r="E225" i="7" s="1"/>
  <c r="G222" i="7"/>
  <c r="G221" i="7" s="1"/>
  <c r="G220" i="7" s="1"/>
  <c r="G219" i="7" s="1"/>
  <c r="G218" i="7" s="1"/>
  <c r="H222" i="7"/>
  <c r="G210" i="7"/>
  <c r="G209" i="7" s="1"/>
  <c r="G208" i="7" s="1"/>
  <c r="G207" i="7" s="1"/>
  <c r="G205" i="7" s="1"/>
  <c r="H210" i="7"/>
  <c r="G204" i="7"/>
  <c r="G203" i="7" s="1"/>
  <c r="G202" i="7" s="1"/>
  <c r="G201" i="7" s="1"/>
  <c r="H204" i="7"/>
  <c r="G196" i="7"/>
  <c r="G195" i="7" s="1"/>
  <c r="G194" i="7" s="1"/>
  <c r="G193" i="7" s="1"/>
  <c r="H196" i="7"/>
  <c r="G172" i="7"/>
  <c r="E172" i="7"/>
  <c r="G157" i="7"/>
  <c r="G149" i="7" s="1"/>
  <c r="E157" i="7"/>
  <c r="G130" i="7"/>
  <c r="I130" i="7" s="1"/>
  <c r="E130" i="7"/>
  <c r="G143" i="7"/>
  <c r="I143" i="7" s="1"/>
  <c r="H135" i="7"/>
  <c r="E143" i="7"/>
  <c r="C16" i="5" l="1"/>
  <c r="C15" i="5" s="1"/>
  <c r="C14" i="5" s="1"/>
  <c r="H283" i="7"/>
  <c r="F16" i="9"/>
  <c r="E15" i="9"/>
  <c r="H13" i="1"/>
  <c r="I13" i="1" s="1"/>
  <c r="F57" i="9"/>
  <c r="G16" i="9"/>
  <c r="I351" i="7"/>
  <c r="I253" i="7"/>
  <c r="G164" i="7"/>
  <c r="I164" i="7" s="1"/>
  <c r="I172" i="7"/>
  <c r="I149" i="7"/>
  <c r="I157" i="7"/>
  <c r="H195" i="7"/>
  <c r="I196" i="7"/>
  <c r="H209" i="7"/>
  <c r="I210" i="7"/>
  <c r="H279" i="7"/>
  <c r="I279" i="7" s="1"/>
  <c r="I280" i="7"/>
  <c r="I313" i="7"/>
  <c r="H376" i="7"/>
  <c r="H370" i="7" s="1"/>
  <c r="H369" i="7" s="1"/>
  <c r="I377" i="7"/>
  <c r="G423" i="7"/>
  <c r="I423" i="7" s="1"/>
  <c r="I429" i="7"/>
  <c r="G414" i="7"/>
  <c r="I414" i="7" s="1"/>
  <c r="I415" i="7"/>
  <c r="G419" i="7"/>
  <c r="I419" i="7" s="1"/>
  <c r="I420" i="7"/>
  <c r="H226" i="7"/>
  <c r="I227" i="7"/>
  <c r="G397" i="7"/>
  <c r="I397" i="7" s="1"/>
  <c r="I398" i="7"/>
  <c r="G409" i="7"/>
  <c r="I410" i="7"/>
  <c r="I204" i="7"/>
  <c r="H221" i="7"/>
  <c r="I222" i="7"/>
  <c r="I310" i="7"/>
  <c r="G381" i="7"/>
  <c r="I382" i="7"/>
  <c r="G479" i="7"/>
  <c r="G480" i="7"/>
  <c r="H475" i="7"/>
  <c r="G192" i="7"/>
  <c r="H478" i="7"/>
  <c r="E39" i="10" s="1"/>
  <c r="E40" i="10" s="1"/>
  <c r="G321" i="7"/>
  <c r="H257" i="7"/>
  <c r="H232" i="7" s="1"/>
  <c r="G257" i="7"/>
  <c r="H203" i="7"/>
  <c r="H467" i="7"/>
  <c r="G266" i="7"/>
  <c r="G265" i="7" s="1"/>
  <c r="G233" i="7"/>
  <c r="G370" i="7"/>
  <c r="E370" i="7"/>
  <c r="G334" i="7"/>
  <c r="G333" i="7" s="1"/>
  <c r="G332" i="7" s="1"/>
  <c r="H163" i="7"/>
  <c r="H473" i="7" s="1"/>
  <c r="E23" i="10" s="1"/>
  <c r="G148" i="7"/>
  <c r="G475" i="7"/>
  <c r="G122" i="7"/>
  <c r="G121" i="7" s="1"/>
  <c r="H122" i="7"/>
  <c r="H134" i="7"/>
  <c r="G135" i="7"/>
  <c r="G134" i="7" s="1"/>
  <c r="G113" i="7"/>
  <c r="H114" i="7"/>
  <c r="G109" i="7"/>
  <c r="G108" i="7" s="1"/>
  <c r="H109" i="7"/>
  <c r="G103" i="7"/>
  <c r="G102" i="7" s="1"/>
  <c r="G101" i="7" s="1"/>
  <c r="G100" i="7" s="1"/>
  <c r="H103" i="7"/>
  <c r="G71" i="7"/>
  <c r="G70" i="7" s="1"/>
  <c r="G69" i="7" s="1"/>
  <c r="H71" i="7"/>
  <c r="G65" i="7"/>
  <c r="H65" i="7"/>
  <c r="G24" i="7"/>
  <c r="G23" i="7" s="1"/>
  <c r="G22" i="7" s="1"/>
  <c r="H24" i="7"/>
  <c r="G10" i="7"/>
  <c r="G9" i="7" s="1"/>
  <c r="G8" i="7" s="1"/>
  <c r="H10" i="7"/>
  <c r="G465" i="7"/>
  <c r="G467" i="7"/>
  <c r="E480" i="7"/>
  <c r="E465" i="7"/>
  <c r="F23" i="10" l="1"/>
  <c r="E24" i="10"/>
  <c r="C10" i="5"/>
  <c r="C13" i="5"/>
  <c r="C12" i="5" s="1"/>
  <c r="C11" i="5" s="1"/>
  <c r="G163" i="7"/>
  <c r="G473" i="7" s="1"/>
  <c r="D23" i="10" s="1"/>
  <c r="D24" i="10" s="1"/>
  <c r="J13" i="1"/>
  <c r="E6" i="9"/>
  <c r="F15" i="9"/>
  <c r="G15" i="9"/>
  <c r="I148" i="7"/>
  <c r="I134" i="7"/>
  <c r="G386" i="7"/>
  <c r="I386" i="7" s="1"/>
  <c r="G413" i="7"/>
  <c r="I413" i="7" s="1"/>
  <c r="H265" i="7"/>
  <c r="H476" i="7" s="1"/>
  <c r="E31" i="10" s="1"/>
  <c r="E32" i="10" s="1"/>
  <c r="I257" i="7"/>
  <c r="I10" i="7"/>
  <c r="I65" i="7"/>
  <c r="H113" i="7"/>
  <c r="I113" i="7" s="1"/>
  <c r="I114" i="7"/>
  <c r="H121" i="7"/>
  <c r="I121" i="7" s="1"/>
  <c r="I122" i="7"/>
  <c r="I334" i="7"/>
  <c r="H220" i="7"/>
  <c r="I221" i="7"/>
  <c r="I233" i="7"/>
  <c r="I284" i="7"/>
  <c r="H225" i="7"/>
  <c r="I225" i="7" s="1"/>
  <c r="I226" i="7"/>
  <c r="I266" i="7"/>
  <c r="H23" i="7"/>
  <c r="I24" i="7"/>
  <c r="H70" i="7"/>
  <c r="I71" i="7"/>
  <c r="H108" i="7"/>
  <c r="I108" i="7" s="1"/>
  <c r="I109" i="7"/>
  <c r="H102" i="7"/>
  <c r="I103" i="7"/>
  <c r="H208" i="7"/>
  <c r="I209" i="7"/>
  <c r="I135" i="7"/>
  <c r="H460" i="7"/>
  <c r="H202" i="7"/>
  <c r="I203" i="7"/>
  <c r="G478" i="7"/>
  <c r="I321" i="7"/>
  <c r="G380" i="7"/>
  <c r="I380" i="7" s="1"/>
  <c r="I381" i="7"/>
  <c r="G408" i="7"/>
  <c r="I408" i="7" s="1"/>
  <c r="I409" i="7"/>
  <c r="I376" i="7"/>
  <c r="G460" i="7"/>
  <c r="H194" i="7"/>
  <c r="I195" i="7"/>
  <c r="E475" i="7"/>
  <c r="F39" i="10"/>
  <c r="G21" i="7"/>
  <c r="G20" i="7" s="1"/>
  <c r="G232" i="7"/>
  <c r="G82" i="7"/>
  <c r="G80" i="7" s="1"/>
  <c r="H463" i="7"/>
  <c r="G120" i="7"/>
  <c r="H82" i="7"/>
  <c r="H466" i="7"/>
  <c r="H464" i="7"/>
  <c r="G7" i="7"/>
  <c r="G6" i="7" s="1"/>
  <c r="G469" i="7"/>
  <c r="G68" i="7"/>
  <c r="G107" i="7"/>
  <c r="G466" i="7"/>
  <c r="G463" i="7"/>
  <c r="G41" i="7"/>
  <c r="G40" i="7" s="1"/>
  <c r="G39" i="7" s="1"/>
  <c r="H472" i="7"/>
  <c r="E19" i="10" s="1"/>
  <c r="H9" i="7"/>
  <c r="G464" i="7"/>
  <c r="G461" i="7"/>
  <c r="H41" i="7"/>
  <c r="G472" i="7"/>
  <c r="E26" i="7"/>
  <c r="E24" i="7" s="1"/>
  <c r="E12" i="7"/>
  <c r="E10" i="7" s="1"/>
  <c r="E422" i="7"/>
  <c r="E420" i="7" s="1"/>
  <c r="E419" i="7" s="1"/>
  <c r="E417" i="7"/>
  <c r="E415" i="7" s="1"/>
  <c r="E414" i="7" s="1"/>
  <c r="E400" i="7"/>
  <c r="E398" i="7" s="1"/>
  <c r="E397" i="7" s="1"/>
  <c r="E393" i="7"/>
  <c r="E391" i="7"/>
  <c r="E390" i="7"/>
  <c r="E385" i="7"/>
  <c r="E384" i="7"/>
  <c r="E353" i="7"/>
  <c r="E351" i="7" s="1"/>
  <c r="E350" i="7"/>
  <c r="E349" i="7"/>
  <c r="E347" i="7"/>
  <c r="E345" i="7"/>
  <c r="E342" i="7"/>
  <c r="E341" i="7"/>
  <c r="E339" i="7"/>
  <c r="E337" i="7"/>
  <c r="E327" i="7"/>
  <c r="E323" i="7" s="1"/>
  <c r="E322" i="7" s="1"/>
  <c r="E321" i="7" s="1"/>
  <c r="E320" i="7"/>
  <c r="E318" i="7"/>
  <c r="E316" i="7"/>
  <c r="E310" i="7"/>
  <c r="E309" i="7"/>
  <c r="E306" i="7"/>
  <c r="E297" i="7"/>
  <c r="E296" i="7"/>
  <c r="E293" i="7"/>
  <c r="E291" i="7"/>
  <c r="E288" i="7"/>
  <c r="E287" i="7"/>
  <c r="E282" i="7"/>
  <c r="E280" i="7" s="1"/>
  <c r="E275" i="7"/>
  <c r="E274" i="7"/>
  <c r="E271" i="7"/>
  <c r="E264" i="7"/>
  <c r="E262" i="7"/>
  <c r="E260" i="7"/>
  <c r="E256" i="7"/>
  <c r="E255" i="7"/>
  <c r="E252" i="7"/>
  <c r="E251" i="7"/>
  <c r="E249" i="7"/>
  <c r="E248" i="7"/>
  <c r="E246" i="7"/>
  <c r="E245" i="7"/>
  <c r="E242" i="7"/>
  <c r="E240" i="7"/>
  <c r="E236" i="7"/>
  <c r="E67" i="7"/>
  <c r="E48" i="7"/>
  <c r="E224" i="7"/>
  <c r="E222" i="7" s="1"/>
  <c r="E221" i="7" s="1"/>
  <c r="E220" i="7" s="1"/>
  <c r="E219" i="7" s="1"/>
  <c r="E218" i="7" s="1"/>
  <c r="E211" i="7"/>
  <c r="E210" i="7" s="1"/>
  <c r="E209" i="7" s="1"/>
  <c r="E208" i="7" s="1"/>
  <c r="E207" i="7" s="1"/>
  <c r="E205" i="7" s="1"/>
  <c r="E206" i="7"/>
  <c r="E199" i="7"/>
  <c r="E197" i="7" s="1"/>
  <c r="E198" i="7"/>
  <c r="E115" i="7"/>
  <c r="E114" i="7" s="1"/>
  <c r="E113" i="7" s="1"/>
  <c r="E112" i="7"/>
  <c r="E110" i="7" s="1"/>
  <c r="E109" i="7" s="1"/>
  <c r="E108" i="7" s="1"/>
  <c r="E107" i="7" s="1"/>
  <c r="E105" i="7"/>
  <c r="E93" i="7"/>
  <c r="E52" i="7"/>
  <c r="E74" i="7"/>
  <c r="E73" i="7"/>
  <c r="E64" i="7"/>
  <c r="E62" i="7"/>
  <c r="E61" i="7"/>
  <c r="E59" i="7"/>
  <c r="E58" i="7"/>
  <c r="E57" i="7"/>
  <c r="E56" i="7"/>
  <c r="E55" i="7"/>
  <c r="E54" i="7"/>
  <c r="E50" i="7"/>
  <c r="E49" i="7"/>
  <c r="E47" i="7"/>
  <c r="E45" i="7"/>
  <c r="E44" i="7"/>
  <c r="I163" i="7" l="1"/>
  <c r="G147" i="7"/>
  <c r="D19" i="10"/>
  <c r="D20" i="10" s="1"/>
  <c r="G444" i="7"/>
  <c r="G438" i="7" s="1"/>
  <c r="D39" i="10"/>
  <c r="D40" i="10" s="1"/>
  <c r="G23" i="10"/>
  <c r="H231" i="7"/>
  <c r="H12" i="1"/>
  <c r="I12" i="1" s="1"/>
  <c r="E5" i="9"/>
  <c r="F6" i="9"/>
  <c r="D5" i="9"/>
  <c r="G6" i="9"/>
  <c r="D8" i="8"/>
  <c r="G8" i="8" s="1"/>
  <c r="H147" i="7"/>
  <c r="I147" i="7" s="1"/>
  <c r="G96" i="7"/>
  <c r="F31" i="10"/>
  <c r="I265" i="7"/>
  <c r="G477" i="7"/>
  <c r="G474" i="7"/>
  <c r="H107" i="7"/>
  <c r="I107" i="7" s="1"/>
  <c r="H120" i="7"/>
  <c r="I120" i="7" s="1"/>
  <c r="I332" i="7"/>
  <c r="I333" i="7"/>
  <c r="H8" i="7"/>
  <c r="I8" i="7" s="1"/>
  <c r="I9" i="7"/>
  <c r="F22" i="5"/>
  <c r="I370" i="7"/>
  <c r="H80" i="7"/>
  <c r="I82" i="7"/>
  <c r="I232" i="7"/>
  <c r="H207" i="7"/>
  <c r="I208" i="7"/>
  <c r="H69" i="7"/>
  <c r="I70" i="7"/>
  <c r="G407" i="7"/>
  <c r="I407" i="7" s="1"/>
  <c r="G369" i="7"/>
  <c r="H201" i="7"/>
  <c r="I202" i="7"/>
  <c r="H193" i="7"/>
  <c r="I193" i="7" s="1"/>
  <c r="I194" i="7"/>
  <c r="H101" i="7"/>
  <c r="I102" i="7"/>
  <c r="H22" i="7"/>
  <c r="I23" i="7"/>
  <c r="I283" i="7"/>
  <c r="H219" i="7"/>
  <c r="I220" i="7"/>
  <c r="G476" i="7"/>
  <c r="D31" i="10" s="1"/>
  <c r="H40" i="7"/>
  <c r="I41" i="7"/>
  <c r="E478" i="7"/>
  <c r="E319" i="7"/>
  <c r="E315" i="7" s="1"/>
  <c r="D17" i="5"/>
  <c r="H474" i="7"/>
  <c r="D20" i="5"/>
  <c r="D19" i="5" s="1"/>
  <c r="G231" i="7"/>
  <c r="E65" i="7"/>
  <c r="E204" i="7"/>
  <c r="E203" i="7" s="1"/>
  <c r="E202" i="7" s="1"/>
  <c r="E201" i="7" s="1"/>
  <c r="H81" i="7"/>
  <c r="G81" i="7"/>
  <c r="I468" i="7"/>
  <c r="G470" i="7"/>
  <c r="D15" i="10" s="1"/>
  <c r="G38" i="7"/>
  <c r="E196" i="7"/>
  <c r="E195" i="7" s="1"/>
  <c r="E194" i="7" s="1"/>
  <c r="E193" i="7" s="1"/>
  <c r="G468" i="7"/>
  <c r="E279" i="7"/>
  <c r="E382" i="7"/>
  <c r="E381" i="7" s="1"/>
  <c r="E380" i="7" s="1"/>
  <c r="E464" i="7"/>
  <c r="E9" i="7"/>
  <c r="E8" i="7" s="1"/>
  <c r="E23" i="7"/>
  <c r="E22" i="7" s="1"/>
  <c r="E413" i="7"/>
  <c r="E407" i="7" s="1"/>
  <c r="E103" i="7"/>
  <c r="E102" i="7" s="1"/>
  <c r="E101" i="7" s="1"/>
  <c r="E100" i="7" s="1"/>
  <c r="E253" i="7"/>
  <c r="E71" i="7"/>
  <c r="E70" i="7" s="1"/>
  <c r="E69" i="7" s="1"/>
  <c r="E68" i="7" s="1"/>
  <c r="F20" i="1"/>
  <c r="G20" i="1"/>
  <c r="H20" i="1"/>
  <c r="I20" i="1"/>
  <c r="F19" i="1"/>
  <c r="G19" i="1"/>
  <c r="H19" i="1"/>
  <c r="I19" i="1"/>
  <c r="F8" i="6"/>
  <c r="G8" i="6"/>
  <c r="H8" i="6"/>
  <c r="I8" i="6"/>
  <c r="E8" i="6"/>
  <c r="G39" i="10" l="1"/>
  <c r="G19" i="10"/>
  <c r="D27" i="10"/>
  <c r="D28" i="10" s="1"/>
  <c r="E27" i="10"/>
  <c r="E28" i="10" s="1"/>
  <c r="D35" i="10"/>
  <c r="D36" i="10" s="1"/>
  <c r="G230" i="7"/>
  <c r="I80" i="7"/>
  <c r="F5" i="9"/>
  <c r="G5" i="9"/>
  <c r="D6" i="8"/>
  <c r="G6" i="8" s="1"/>
  <c r="I356" i="7"/>
  <c r="G95" i="7"/>
  <c r="G471" i="7" s="1"/>
  <c r="E20" i="5"/>
  <c r="H470" i="7"/>
  <c r="E15" i="10" s="1"/>
  <c r="E314" i="7"/>
  <c r="E313" i="7" s="1"/>
  <c r="E311" i="7" s="1"/>
  <c r="E304" i="7" s="1"/>
  <c r="E295" i="7" s="1"/>
  <c r="E290" i="7" s="1"/>
  <c r="E286" i="7" s="1"/>
  <c r="H469" i="7"/>
  <c r="E467" i="7"/>
  <c r="H7" i="7"/>
  <c r="I7" i="7" s="1"/>
  <c r="I231" i="7"/>
  <c r="I369" i="7"/>
  <c r="H21" i="7"/>
  <c r="I22" i="7"/>
  <c r="H192" i="7"/>
  <c r="I192" i="7" s="1"/>
  <c r="I201" i="7"/>
  <c r="D32" i="10"/>
  <c r="G31" i="10"/>
  <c r="I69" i="7"/>
  <c r="H68" i="7"/>
  <c r="H100" i="7"/>
  <c r="I101" i="7"/>
  <c r="I81" i="7"/>
  <c r="H218" i="7"/>
  <c r="I218" i="7" s="1"/>
  <c r="I219" i="7"/>
  <c r="H205" i="7"/>
  <c r="I205" i="7" s="1"/>
  <c r="I207" i="7"/>
  <c r="H39" i="7"/>
  <c r="I40" i="7"/>
  <c r="E463" i="7"/>
  <c r="F19" i="10"/>
  <c r="E20" i="10"/>
  <c r="F18" i="10"/>
  <c r="G18" i="10"/>
  <c r="D16" i="10"/>
  <c r="D21" i="5"/>
  <c r="E192" i="7"/>
  <c r="E21" i="7"/>
  <c r="E469" i="7"/>
  <c r="E444" i="7" s="1"/>
  <c r="E438" i="7" s="1"/>
  <c r="E7" i="7"/>
  <c r="E6" i="7" s="1"/>
  <c r="G27" i="10" l="1"/>
  <c r="F27" i="10"/>
  <c r="D11" i="10"/>
  <c r="D42" i="10" s="1"/>
  <c r="G12" i="1" s="1"/>
  <c r="G484" i="7"/>
  <c r="E19" i="5"/>
  <c r="F19" i="5" s="1"/>
  <c r="F20" i="5"/>
  <c r="E7" i="10"/>
  <c r="H438" i="7"/>
  <c r="G15" i="10"/>
  <c r="D5" i="8"/>
  <c r="G5" i="8" s="1"/>
  <c r="G9" i="1"/>
  <c r="I354" i="7"/>
  <c r="I355" i="7"/>
  <c r="I117" i="7"/>
  <c r="I100" i="7"/>
  <c r="H98" i="7"/>
  <c r="I98" i="7" s="1"/>
  <c r="H97" i="7"/>
  <c r="G482" i="7"/>
  <c r="G94" i="7"/>
  <c r="G79" i="7" s="1"/>
  <c r="E285" i="7"/>
  <c r="E284" i="7" s="1"/>
  <c r="E283" i="7" s="1"/>
  <c r="E281" i="7" s="1"/>
  <c r="E273" i="7" s="1"/>
  <c r="E267" i="7" s="1"/>
  <c r="E266" i="7" s="1"/>
  <c r="E265" i="7" s="1"/>
  <c r="E263" i="7" s="1"/>
  <c r="H6" i="7"/>
  <c r="I6" i="7" s="1"/>
  <c r="I482" i="7"/>
  <c r="E17" i="5"/>
  <c r="F17" i="5" s="1"/>
  <c r="I68" i="7"/>
  <c r="I21" i="7"/>
  <c r="H20" i="7"/>
  <c r="I39" i="7"/>
  <c r="H38" i="7"/>
  <c r="E184" i="7"/>
  <c r="E181" i="7" s="1"/>
  <c r="E180" i="7" s="1"/>
  <c r="E179" i="7" s="1"/>
  <c r="E189" i="7"/>
  <c r="E186" i="7"/>
  <c r="E182" i="7"/>
  <c r="F15" i="10"/>
  <c r="E20" i="7"/>
  <c r="B18" i="5"/>
  <c r="B17" i="5" s="1"/>
  <c r="D43" i="10" l="1"/>
  <c r="J12" i="1"/>
  <c r="G11" i="1"/>
  <c r="E8" i="10"/>
  <c r="I20" i="7"/>
  <c r="E477" i="7"/>
  <c r="I38" i="7"/>
  <c r="J38" i="7"/>
  <c r="E178" i="7"/>
  <c r="E176" i="7"/>
  <c r="F7" i="10"/>
  <c r="G7" i="10"/>
  <c r="H477" i="7"/>
  <c r="E35" i="10" s="1"/>
  <c r="E36" i="10" s="1"/>
  <c r="H230" i="7"/>
  <c r="I444" i="7"/>
  <c r="I438" i="7"/>
  <c r="F14" i="10"/>
  <c r="P7" i="10"/>
  <c r="Q7" i="10" s="1"/>
  <c r="G4" i="7"/>
  <c r="G549" i="7" s="1"/>
  <c r="D12" i="10"/>
  <c r="H96" i="7"/>
  <c r="H461" i="7"/>
  <c r="H468" i="7" s="1"/>
  <c r="I97" i="7"/>
  <c r="E476" i="7"/>
  <c r="E16" i="10"/>
  <c r="G14" i="10"/>
  <c r="E270" i="7"/>
  <c r="E259" i="7"/>
  <c r="E258" i="7"/>
  <c r="E166" i="7"/>
  <c r="E168" i="7"/>
  <c r="F35" i="10" l="1"/>
  <c r="G35" i="10"/>
  <c r="I230" i="7"/>
  <c r="K230" i="7"/>
  <c r="D15" i="5"/>
  <c r="H95" i="7"/>
  <c r="I96" i="7"/>
  <c r="E257" i="7"/>
  <c r="E254" i="7" s="1"/>
  <c r="E250" i="7" s="1"/>
  <c r="E170" i="7"/>
  <c r="E165" i="7" s="1"/>
  <c r="E173" i="7"/>
  <c r="D14" i="5" l="1"/>
  <c r="D11" i="5" s="1"/>
  <c r="H94" i="7"/>
  <c r="H471" i="7"/>
  <c r="E11" i="10" s="1"/>
  <c r="I95" i="7"/>
  <c r="E247" i="7"/>
  <c r="E244" i="7"/>
  <c r="E153" i="7"/>
  <c r="E150" i="7" s="1"/>
  <c r="E149" i="7" s="1"/>
  <c r="E148" i="7" s="1"/>
  <c r="E141" i="7" s="1"/>
  <c r="E164" i="7"/>
  <c r="E155" i="7"/>
  <c r="P8" i="10" l="1"/>
  <c r="Q8" i="10" s="1"/>
  <c r="E42" i="10"/>
  <c r="D10" i="5"/>
  <c r="I94" i="7"/>
  <c r="H79" i="7"/>
  <c r="H4" i="7" s="1"/>
  <c r="E163" i="7"/>
  <c r="E161" i="7"/>
  <c r="H482" i="7"/>
  <c r="J468" i="7" s="1"/>
  <c r="E239" i="7"/>
  <c r="E235" i="7" s="1"/>
  <c r="E151" i="7"/>
  <c r="I79" i="7" l="1"/>
  <c r="I4" i="7" s="1"/>
  <c r="E31" i="7"/>
  <c r="E29" i="7" s="1"/>
  <c r="K147" i="7"/>
  <c r="E158" i="7"/>
  <c r="E147" i="7"/>
  <c r="E144" i="7" s="1"/>
  <c r="G11" i="10"/>
  <c r="F11" i="10"/>
  <c r="G10" i="10"/>
  <c r="E12" i="10"/>
  <c r="I10" i="10"/>
  <c r="M10" i="10" s="1"/>
  <c r="F10" i="10"/>
  <c r="E234" i="7"/>
  <c r="E233" i="7" s="1"/>
  <c r="E232" i="7" s="1"/>
  <c r="E231" i="7" s="1"/>
  <c r="E474" i="7"/>
  <c r="J234" i="7" l="1"/>
  <c r="E28" i="7"/>
  <c r="E27" i="7" s="1"/>
  <c r="E479" i="7" s="1"/>
  <c r="E466" i="7"/>
  <c r="E137" i="7"/>
  <c r="E139" i="7"/>
  <c r="E136" i="7" s="1"/>
  <c r="E135" i="7" s="1"/>
  <c r="E134" i="7" s="1"/>
  <c r="E128" i="7" s="1"/>
  <c r="E43" i="10"/>
  <c r="E126" i="7" l="1"/>
  <c r="E123" i="7" s="1"/>
  <c r="E122" i="7" s="1"/>
  <c r="E121" i="7" s="1"/>
  <c r="E120" i="7" s="1"/>
  <c r="E131" i="7"/>
  <c r="E124" i="7" s="1"/>
  <c r="E472" i="7" l="1"/>
  <c r="F11" i="1"/>
  <c r="G8" i="1"/>
  <c r="E460" i="7" l="1"/>
  <c r="B22" i="5" l="1"/>
  <c r="B21" i="5" s="1"/>
  <c r="E21" i="5" s="1"/>
  <c r="E436" i="7"/>
  <c r="E432" i="7" s="1"/>
  <c r="E427" i="7" s="1"/>
  <c r="E421" i="7" s="1"/>
  <c r="E416" i="7" s="1"/>
  <c r="F21" i="5" l="1"/>
  <c r="E117" i="7"/>
  <c r="E111" i="7" s="1"/>
  <c r="E104" i="7" s="1"/>
  <c r="E98" i="7" s="1"/>
  <c r="E411" i="7"/>
  <c r="E399" i="7" s="1"/>
  <c r="E394" i="7" s="1"/>
  <c r="E87" i="7"/>
  <c r="E91" i="7"/>
  <c r="F8" i="1"/>
  <c r="H11" i="1"/>
  <c r="E15" i="5" l="1"/>
  <c r="F16" i="5"/>
  <c r="E360" i="7"/>
  <c r="E358" i="7"/>
  <c r="E388" i="7"/>
  <c r="E387" i="7" s="1"/>
  <c r="E386" i="7" s="1"/>
  <c r="E389" i="7"/>
  <c r="E83" i="7"/>
  <c r="E82" i="7" s="1"/>
  <c r="E84" i="7"/>
  <c r="F14" i="1"/>
  <c r="I11" i="1"/>
  <c r="H8" i="1"/>
  <c r="I8" i="1" s="1"/>
  <c r="E14" i="5" l="1"/>
  <c r="F15" i="5"/>
  <c r="E369" i="7"/>
  <c r="E383" i="7"/>
  <c r="E378" i="7" s="1"/>
  <c r="E373" i="7" s="1"/>
  <c r="E362" i="7" s="1"/>
  <c r="E80" i="7"/>
  <c r="E81" i="7"/>
  <c r="E471" i="7" s="1"/>
  <c r="H14" i="1"/>
  <c r="E10" i="5" l="1"/>
  <c r="F14" i="5"/>
  <c r="F10" i="5" s="1"/>
  <c r="H30" i="1"/>
  <c r="E356" i="7"/>
  <c r="E355" i="7" s="1"/>
  <c r="E354" i="7" s="1"/>
  <c r="E340" i="7" s="1"/>
  <c r="E366" i="7"/>
  <c r="E336" i="7"/>
  <c r="E338" i="7"/>
  <c r="E335" i="7" s="1"/>
  <c r="E352" i="7"/>
  <c r="B20" i="5"/>
  <c r="B19" i="5" s="1"/>
  <c r="E79" i="7"/>
  <c r="E72" i="7" s="1"/>
  <c r="E66" i="7" s="1"/>
  <c r="E60" i="7" s="1"/>
  <c r="E51" i="7" s="1"/>
  <c r="F13" i="5" l="1"/>
  <c r="E348" i="7"/>
  <c r="E344" i="7" s="1"/>
  <c r="E346" i="7"/>
  <c r="E343" i="7" s="1"/>
  <c r="E43" i="7"/>
  <c r="E42" i="7"/>
  <c r="F12" i="5" l="1"/>
  <c r="E11" i="5"/>
  <c r="F11" i="5" s="1"/>
  <c r="E334" i="7"/>
  <c r="E333" i="7" s="1"/>
  <c r="E332" i="7" s="1"/>
  <c r="E230" i="7" s="1"/>
  <c r="E228" i="7" s="1"/>
  <c r="E223" i="7" s="1"/>
  <c r="E216" i="7" s="1"/>
  <c r="E41" i="7"/>
  <c r="E40" i="7" s="1"/>
  <c r="E330" i="7" l="1"/>
  <c r="E39" i="7"/>
  <c r="E38" i="7" s="1"/>
  <c r="E470" i="7"/>
  <c r="E482" i="7" l="1"/>
  <c r="E451" i="7"/>
  <c r="E447" i="7" s="1"/>
  <c r="E442" i="7" s="1"/>
  <c r="E30" i="7"/>
  <c r="E25" i="7" s="1"/>
  <c r="E11" i="7" s="1"/>
  <c r="E4" i="7"/>
  <c r="B16" i="5" s="1"/>
  <c r="B15" i="5" s="1"/>
  <c r="B14" i="5" s="1"/>
  <c r="J11" i="1"/>
  <c r="B10" i="5" l="1"/>
  <c r="B13" i="5"/>
  <c r="B12" i="5" s="1"/>
  <c r="B11" i="5" s="1"/>
  <c r="G14" i="1"/>
  <c r="J8" i="1"/>
  <c r="E461" i="7" l="1"/>
  <c r="E468" i="7" s="1"/>
</calcChain>
</file>

<file path=xl/comments1.xml><?xml version="1.0" encoding="utf-8"?>
<comments xmlns="http://schemas.openxmlformats.org/spreadsheetml/2006/main">
  <authors>
    <author>Katarina</author>
  </authors>
  <commentList>
    <comment ref="G13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Limit 2023: 357.223,90 kn ;   47.411,76 EUR
</t>
        </r>
      </text>
    </comment>
    <comment ref="F33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F 0970
</t>
        </r>
      </text>
    </comment>
    <comment ref="G38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Limit 2023: 357.223,90 kn ;   47.411,76 EUR
</t>
        </r>
      </text>
    </comment>
    <comment ref="G79" authorId="0" shapeId="0">
      <text>
        <r>
          <rPr>
            <b/>
            <sz val="9"/>
            <color indexed="81"/>
            <rFont val="Segoe UI"/>
            <family val="2"/>
            <charset val="238"/>
          </rPr>
          <t>Katarina:</t>
        </r>
        <r>
          <rPr>
            <sz val="9"/>
            <color indexed="81"/>
            <rFont val="Segoe UI"/>
            <family val="2"/>
            <charset val="238"/>
          </rPr>
          <t xml:space="preserve">
limit 61.197 EUR</t>
        </r>
      </text>
    </comment>
  </commentList>
</comments>
</file>

<file path=xl/sharedStrings.xml><?xml version="1.0" encoding="utf-8"?>
<sst xmlns="http://schemas.openxmlformats.org/spreadsheetml/2006/main" count="1227" uniqueCount="449">
  <si>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</si>
  <si>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</si>
  <si>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</si>
  <si>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</si>
  <si>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</si>
  <si>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</si>
  <si>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</si>
  <si>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</si>
  <si>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</si>
  <si>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</si>
  <si>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</si>
  <si>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</si>
  <si>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</si>
  <si>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</si>
  <si>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</si>
  <si>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</si>
  <si>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</si>
  <si>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</si>
  <si>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</si>
  <si>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</si>
  <si>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</si>
  <si>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</si>
  <si>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</si>
  <si>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</si>
  <si>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</si>
  <si>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</si>
  <si>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</si>
  <si>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</si>
  <si>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</si>
  <si>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</si>
  <si>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</si>
  <si>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</si>
  <si>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</si>
  <si>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</si>
  <si>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</si>
  <si>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</si>
  <si>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</si>
  <si>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</si>
  <si>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</si>
  <si>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</si>
  <si>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Projekcija 
za 2025.</t>
  </si>
  <si>
    <t>Ostali prihodi za posebne namjene</t>
  </si>
  <si>
    <t>C) PRENESENI VIŠAK ILI PRENESENI MANJAK I VIŠEGODIŠNJI PLAN URAVNOTEŽENJA</t>
  </si>
  <si>
    <t>Naziv</t>
  </si>
  <si>
    <t>1.1.</t>
  </si>
  <si>
    <t>3.3.</t>
  </si>
  <si>
    <t>5.K.</t>
  </si>
  <si>
    <t>Kapitalni projekt K100128</t>
  </si>
  <si>
    <t>Izrada projektne dokumentacije za dogradnju škole i dvorane</t>
  </si>
  <si>
    <t>MINIMALNI STANDARD U OSNOVNOM ŠKOLSTVU- MATERIJALNI I FINANCIJSKI RASHODI-decentralizirana sredstva</t>
  </si>
  <si>
    <t>Aktivnost A100001</t>
  </si>
  <si>
    <t xml:space="preserve">Rashodi poslovanja </t>
  </si>
  <si>
    <t>Službena putovanja</t>
  </si>
  <si>
    <t>Stručno usavršavanje zaposlenika</t>
  </si>
  <si>
    <t>Uredski mater.i ost.mater.rashodi</t>
  </si>
  <si>
    <t>Energija</t>
  </si>
  <si>
    <t>Sitni inventar i auto-gume</t>
  </si>
  <si>
    <t>Služb.radna i zaštitna odjeća i obuća</t>
  </si>
  <si>
    <t>Usluge telefona,pošte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</si>
  <si>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</si>
  <si>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</si>
  <si>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</si>
  <si>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</si>
  <si>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</si>
  <si>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</si>
  <si>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</si>
  <si>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Reprezentacija</t>
  </si>
  <si>
    <t>Članarine</t>
  </si>
  <si>
    <t>Naknade i pristojbe</t>
  </si>
  <si>
    <t>Ostali nespomenuti rashodi poslovanja</t>
  </si>
  <si>
    <t>Bankarske usluge i usluge pl.prometa</t>
  </si>
  <si>
    <t>Aktivnost A100002</t>
  </si>
  <si>
    <t>Mater.i dijelovi za tekuće i invest.održ.</t>
  </si>
  <si>
    <t>Usluge tekućeg i invest.održavanja</t>
  </si>
  <si>
    <t>POJAČANI STANDARD U ŠKOLSTVU</t>
  </si>
  <si>
    <t>Tekući projekt T100003</t>
  </si>
  <si>
    <t>Naknade za rad predst.i izvršnih tijela</t>
  </si>
  <si>
    <t>Ostali nespomenuti rashodi</t>
  </si>
  <si>
    <t>Tekući projekt T100006</t>
  </si>
  <si>
    <t>Tekući projekt T100027</t>
  </si>
  <si>
    <t>Plaće za redovan rad</t>
  </si>
  <si>
    <t>Ostali rashodi za zaposlene</t>
  </si>
  <si>
    <t>Doprinosi za obvezno zdr.osiguranje</t>
  </si>
  <si>
    <t>Naknade za prijevoz, rad na terenu</t>
  </si>
  <si>
    <t>KAPITALNO ULAGANJE</t>
  </si>
  <si>
    <t>OPREMA ŠKOLA</t>
  </si>
  <si>
    <t xml:space="preserve">Tekući projekt T100002 </t>
  </si>
  <si>
    <t>TEKUĆE I INVESTICIJSKO ODRŽAVANJE U ŠKOLSTVU</t>
  </si>
  <si>
    <t>PROGRAMI OSNOVNIH ŠKOLA IZVAN ŽUPANIJSKOG PRORAČUNA</t>
  </si>
  <si>
    <t>Sitan inventar</t>
  </si>
  <si>
    <t>Usluge tekućeg i investicisjkog održavanja</t>
  </si>
  <si>
    <t>Premije osiguranja</t>
  </si>
  <si>
    <t>Financijski rashodi</t>
  </si>
  <si>
    <t>Bankarske usluge i usluge platbog promet</t>
  </si>
  <si>
    <t>Zatezne kamate</t>
  </si>
  <si>
    <t>Ostali rashodi</t>
  </si>
  <si>
    <t>Tekuće donacije</t>
  </si>
  <si>
    <t>Tekuće donacije u novcu</t>
  </si>
  <si>
    <t>Rashodi za nabavu proizvedene dugotrajne  imovine</t>
  </si>
  <si>
    <t>Uredska oprema i namještaj</t>
  </si>
  <si>
    <t>Oprema za održavanje i zaštitu</t>
  </si>
  <si>
    <t>Uređaji, strojevi i oprema za ost.namjene</t>
  </si>
  <si>
    <t>Knjige u knjižnicama</t>
  </si>
  <si>
    <t>Doprinosi za obv.osig.u slučaju nezaposlenosti</t>
  </si>
  <si>
    <t>Naknada za nezapošlj.invalida</t>
  </si>
  <si>
    <t>Troškovi sudskih postupaka</t>
  </si>
  <si>
    <t>Materijal i sirovine</t>
  </si>
  <si>
    <t>Uređaji, strojevi i oprema za ostale namjene</t>
  </si>
  <si>
    <t>Tekući projekt T100020</t>
  </si>
  <si>
    <t>Uredski mater.i ost.mater.ras.-udžben.</t>
  </si>
  <si>
    <t>Knjige i udžbenici</t>
  </si>
  <si>
    <t>Aktivnost A10001</t>
  </si>
  <si>
    <t>Izvor financiranja 4.1.</t>
  </si>
  <si>
    <t>Decentralizirana sredstva OŠ</t>
  </si>
  <si>
    <t>PROGRAM 1001</t>
  </si>
  <si>
    <t>Aktivnost A10002</t>
  </si>
  <si>
    <t>Tekuće i investicijsko održavanje</t>
  </si>
  <si>
    <t>Županijska stručna vijeća</t>
  </si>
  <si>
    <t>Izvor financiranja 1.1.</t>
  </si>
  <si>
    <t>Aktivnost A10003</t>
  </si>
  <si>
    <t>Natjecanja</t>
  </si>
  <si>
    <t>Ostale izvanškolske aktivnosti</t>
  </si>
  <si>
    <t>Minist. znanosti, obrazov. i sporta-ESF.</t>
  </si>
  <si>
    <t>E-tehničar</t>
  </si>
  <si>
    <t>Tekući projekt T100041</t>
  </si>
  <si>
    <t>Izvor financiranja 3.3.</t>
  </si>
  <si>
    <t>POTICANJE KORIŠTENJA SREDSTAVA IZ FONDOVA EU</t>
  </si>
  <si>
    <t>Tekući projekt T 100011</t>
  </si>
  <si>
    <t>Školska shema voća, povrća te mlijeka i mliječnih proizvoda</t>
  </si>
  <si>
    <t>Izvor financiranja 5.Đ.</t>
  </si>
  <si>
    <t>Ministarstvo poljoprivrede</t>
  </si>
  <si>
    <t>Naknade građanima i kućanstvima u naravi</t>
  </si>
  <si>
    <t>Izvor financiranja 3.7.</t>
  </si>
  <si>
    <t>Izvor financiranja 4.L.</t>
  </si>
  <si>
    <t>Prihodi za posebne namjene</t>
  </si>
  <si>
    <t>Izvor financiranja 5.K.</t>
  </si>
  <si>
    <t>Pomoći</t>
  </si>
  <si>
    <t>Donacije</t>
  </si>
  <si>
    <t>Administrativno, tehničko i stručno osoblje</t>
  </si>
  <si>
    <t>Školska kuhinja</t>
  </si>
  <si>
    <t>Nabava udžbenika za učenike</t>
  </si>
  <si>
    <t>09 Obrazovanje</t>
  </si>
  <si>
    <t>091 Predškolsko i osnovno obrazovanje</t>
  </si>
  <si>
    <t>0912 Osnovno obrazovanje</t>
  </si>
  <si>
    <t>096 Dodatne usluge u obrazovanju</t>
  </si>
  <si>
    <t>0960 Dodatne usluge u obrazovanju</t>
  </si>
  <si>
    <t>4.1.</t>
  </si>
  <si>
    <t>Decentralizirana sredstva</t>
  </si>
  <si>
    <t>4.L.</t>
  </si>
  <si>
    <t>Naknade kućanstvima</t>
  </si>
  <si>
    <t>Dugotrajna imovina</t>
  </si>
  <si>
    <t>5.Đ.</t>
  </si>
  <si>
    <t>UP</t>
  </si>
  <si>
    <t>UR</t>
  </si>
  <si>
    <t>Višak prihoda-Pomoći</t>
  </si>
  <si>
    <t>3431</t>
  </si>
  <si>
    <t>3293</t>
  </si>
  <si>
    <t>3291</t>
  </si>
  <si>
    <t>3299</t>
  </si>
  <si>
    <t>3111</t>
  </si>
  <si>
    <t>3121</t>
  </si>
  <si>
    <t>3132</t>
  </si>
  <si>
    <t>3211</t>
  </si>
  <si>
    <t>3212</t>
  </si>
  <si>
    <t>3224</t>
  </si>
  <si>
    <t>3232</t>
  </si>
  <si>
    <t>3433</t>
  </si>
  <si>
    <t>4221</t>
  </si>
  <si>
    <t>4223</t>
  </si>
  <si>
    <t>4227</t>
  </si>
  <si>
    <t>4241</t>
  </si>
  <si>
    <t>3292</t>
  </si>
  <si>
    <t>Zdravstvene i veterinarske usluge (covid)</t>
  </si>
  <si>
    <t>3236</t>
  </si>
  <si>
    <t>3133</t>
  </si>
  <si>
    <t>3295</t>
  </si>
  <si>
    <t>3296</t>
  </si>
  <si>
    <t>3221</t>
  </si>
  <si>
    <t>3222</t>
  </si>
  <si>
    <t>3225</t>
  </si>
  <si>
    <t>Izvor financiranja 5.D.</t>
  </si>
  <si>
    <t xml:space="preserve">Zdravstvene i veterinarske usluge </t>
  </si>
  <si>
    <t>3214</t>
  </si>
  <si>
    <t>Ostale naknade troškova zaposlenima</t>
  </si>
  <si>
    <t>3227</t>
  </si>
  <si>
    <t>3237</t>
  </si>
  <si>
    <t>3233</t>
  </si>
  <si>
    <t>3722</t>
  </si>
  <si>
    <t>Usluge tekućeg i investicijskog održavanja</t>
  </si>
  <si>
    <t>Rashodi za nabavu proizvedene dugotrajne imovine</t>
  </si>
  <si>
    <t>4212</t>
  </si>
  <si>
    <t>Dodatna ulaganja na građevinskim objektima</t>
  </si>
  <si>
    <t>4511</t>
  </si>
  <si>
    <t>5.T.</t>
  </si>
  <si>
    <t>6.3.</t>
  </si>
  <si>
    <t>EUR</t>
  </si>
  <si>
    <t>PROGRAM 1002</t>
  </si>
  <si>
    <t>Tekući projekt T00001</t>
  </si>
  <si>
    <t>Tekući projekt T00002</t>
  </si>
  <si>
    <t>PROGRAM 1003</t>
  </si>
  <si>
    <t>Aktivnost A 100001</t>
  </si>
  <si>
    <t>Tekuće i investicijsko održavanje u školstvu</t>
  </si>
  <si>
    <t>Dodatna ulaganja</t>
  </si>
  <si>
    <t>Izvor financiranja 6.3.</t>
  </si>
  <si>
    <t>Prsten potpore VI</t>
  </si>
  <si>
    <t>Tekući projekt T100055</t>
  </si>
  <si>
    <t>0980 Usluge u obrazovanju koje nisu drugdje svrstane</t>
  </si>
  <si>
    <t>Prsten potpore VII</t>
  </si>
  <si>
    <t>ukupno EUR:</t>
  </si>
  <si>
    <t>VIŠAK 3.7. i 5.D.</t>
  </si>
  <si>
    <t>UKUPNO KLASA:</t>
  </si>
  <si>
    <t>UKUPNO IZVORI FINANCIRANJA:</t>
  </si>
  <si>
    <t>098 Usluge obrazovanja koje nisu drugdje svrstane</t>
  </si>
  <si>
    <t>UKUPNO:</t>
  </si>
  <si>
    <t>Izvor financiranja 5.T.</t>
  </si>
  <si>
    <t>097 Istraživanje i razvoj obrazovanja</t>
  </si>
  <si>
    <t>0970 Istraživanje i razvoj obrazovanja</t>
  </si>
  <si>
    <t>Voditelj računovodstva:</t>
  </si>
  <si>
    <t>Ravnatelj:</t>
  </si>
  <si>
    <t>Predsjednik Školskog odbora:</t>
  </si>
  <si>
    <t>Katarina Bečić Mutvar</t>
  </si>
  <si>
    <t>Mileo Todić</t>
  </si>
  <si>
    <t>Romana Orlić</t>
  </si>
  <si>
    <t>Izvršenje 2022.</t>
  </si>
  <si>
    <t>Plan 2023.</t>
  </si>
  <si>
    <t>Strojevi za ostale namjene-kuhinja</t>
  </si>
  <si>
    <t>Dodatna ulaganja na nefinanc.imovini</t>
  </si>
  <si>
    <t>Tekući projekt T00015</t>
  </si>
  <si>
    <t>Nabava pribora za školsku kuhinju</t>
  </si>
  <si>
    <t>Rashodi za nabavu nefinanc.imovine</t>
  </si>
  <si>
    <t>Plan za 2024.</t>
  </si>
  <si>
    <t>Opskrba besplatnim zalihama menstrualnih higijenskih poptrepština</t>
  </si>
  <si>
    <t>Tekući projekt T100058</t>
  </si>
  <si>
    <t>NPOO</t>
  </si>
  <si>
    <t>Tekući projekt T00016</t>
  </si>
  <si>
    <t>Knjige za školsku knjižnicu</t>
  </si>
  <si>
    <t>Knjige</t>
  </si>
  <si>
    <t>Donacije i ostali rashodi</t>
  </si>
  <si>
    <t>3812</t>
  </si>
  <si>
    <t>Tekuće donacije u naravi</t>
  </si>
  <si>
    <t>ŽUP.UK</t>
  </si>
  <si>
    <t>OPĆI DIO</t>
  </si>
  <si>
    <t>Konto</t>
  </si>
  <si>
    <t>INDEKS 5/3*100</t>
  </si>
  <si>
    <t>INDEKS 5/4*100</t>
  </si>
  <si>
    <t>UKUPNI PRIHODI</t>
  </si>
  <si>
    <t>6</t>
  </si>
  <si>
    <t>63</t>
  </si>
  <si>
    <t>POMOĆI IZ INOZEMSTVA I OD SUBJEKATA UNUTAR OPĆEG PRORAČUNA</t>
  </si>
  <si>
    <t>636</t>
  </si>
  <si>
    <t>POMOĆI PRORAČUNSKIM KORISNICIMA IZ PRORAČUNA KOJI IME NIJE NADLEŽAN</t>
  </si>
  <si>
    <t>6361</t>
  </si>
  <si>
    <t>TEKUĆE POMOĆI PRORAČUNSKIM KORISNICIMA IZ PRORAČUNA KOJI IME NIJE NADLEŽAN</t>
  </si>
  <si>
    <t>-</t>
  </si>
  <si>
    <t>6362</t>
  </si>
  <si>
    <t>KAPITALNE POMOĆI PRORAČUNSKIM KORISNICIMA IZ PRORAČUNA KOJI IME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</si>
  <si>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</si>
  <si>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</si>
  <si>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</si>
  <si>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</si>
  <si>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</si>
  <si>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</si>
  <si>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</si>
  <si>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</si>
  <si>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</si>
  <si>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</si>
  <si>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</si>
  <si>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</si>
  <si>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66</t>
  </si>
  <si>
    <t>PRIHODI OPD PRODAJE PROIZVODA, ROBA I USLUGA TE PRIHODI OD DONACIJA I POVRATI PROTEST.JAMSTAVA</t>
  </si>
  <si>
    <t>661</t>
  </si>
  <si>
    <t>PRIHODI OPD PRODAJE PROIZVODA, ROBA I USLUGA</t>
  </si>
  <si>
    <t>PRIHODI OD PRODAJE PROIZVODA</t>
  </si>
  <si>
    <t>6615</t>
  </si>
  <si>
    <t>PRIHODI OD PRUŽENIH USLUGA</t>
  </si>
  <si>
    <t>663</t>
  </si>
  <si>
    <t>DONACIJE OD PRAVNIH I FIZIČKIH OSOBA IZVAN OPĆEG PRORAČUNA</t>
  </si>
  <si>
    <t>6631</t>
  </si>
  <si>
    <t>TEKUĆE DONACIJE</t>
  </si>
  <si>
    <t>67</t>
  </si>
  <si>
    <t>PRIHODI IZ NADLEŽNOG PRORAČUNA I OD HZZO TEMELJEM UGOVORNIH OBVEZA</t>
  </si>
  <si>
    <t>671</t>
  </si>
  <si>
    <t>PRIHODI IZ NADLEŽNOG PRORAČUNA ZA FINANCIRANJE REDOVNE DJELATNOSTI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</si>
  <si>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</si>
  <si>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</si>
  <si>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</si>
  <si>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</si>
  <si>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>PRIHODI OD PRODAJE NEPROIZV.DUGOTR. NEFINANCIJSKE IMOVINE</t>
  </si>
  <si>
    <t>PRIHODI OD PRODAJE GRAĐEVINSKIH OBJEKATA</t>
  </si>
  <si>
    <t>Manjak prihoda</t>
  </si>
  <si>
    <t>3</t>
  </si>
  <si>
    <t>RASHODI</t>
  </si>
  <si>
    <t>31</t>
  </si>
  <si>
    <t>RASHODI ZA ZAPOSLENE</t>
  </si>
  <si>
    <t>311</t>
  </si>
  <si>
    <t>PLAĆE (BRUTO)</t>
  </si>
  <si>
    <t>PLAĆE-BRUTO- ZA REDOVAN RAD</t>
  </si>
  <si>
    <t>312</t>
  </si>
  <si>
    <t>OSTALI RASHODI ZA ZAPOSLENE</t>
  </si>
  <si>
    <t>313</t>
  </si>
  <si>
    <t>DOPRINOSI NA PLAĆE</t>
  </si>
  <si>
    <t>DOPRINOSI ZA ZDRAVSTVENO OSIGURANJE</t>
  </si>
  <si>
    <t>DOPRINOSI ZA ZAPOŠLJAVANJE</t>
  </si>
  <si>
    <t>32</t>
  </si>
  <si>
    <t>MATERIJALNI RASHODI</t>
  </si>
  <si>
    <t>321</t>
  </si>
  <si>
    <t>NAKNADE TROŠKOVA ZAPOSLENIMA</t>
  </si>
  <si>
    <t>SLUŽBENA PUTOVANJA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</si>
  <si>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</si>
  <si>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</si>
  <si>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</si>
  <si>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</si>
  <si>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</si>
  <si>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UREDSKI MATERIJAL I OSTALI MATERIJALNI RASHODI</t>
  </si>
  <si>
    <t>MATERIJAL I SIROVINE</t>
  </si>
  <si>
    <t>3223</t>
  </si>
  <si>
    <t>ENERGIJA</t>
  </si>
  <si>
    <t>MATERIJAL I DIJELOVI ZA TEKUĆE I INVESTICIJSKO ODRŽAVANJE</t>
  </si>
  <si>
    <t>SITNI INVENTAR I AUTO GUME</t>
  </si>
  <si>
    <t>SLUŽBENA, RADNA I ZAŠTITNA  ODJEĆA I OBUĆA</t>
  </si>
  <si>
    <t>323</t>
  </si>
  <si>
    <t>RASHODI ZA USLUGE</t>
  </si>
  <si>
    <t>3231</t>
  </si>
  <si>
    <t>USLUGE TELEFONA, POŠTE I PRIJEVOZA</t>
  </si>
  <si>
    <t>USLUGE TEKUĆEG I INVESTICIJSKOG ODRŽAVANJA</t>
  </si>
  <si>
    <t>USLUGE PROMIDŽBE I INFORMIRANJA</t>
  </si>
  <si>
    <t>3234</t>
  </si>
  <si>
    <t>KOMUNALNE USLUGE</t>
  </si>
  <si>
    <t>3235</t>
  </si>
  <si>
    <t>ZAKUPNINE I NAJMANINE</t>
  </si>
  <si>
    <t>ZDRAVSTVENE I VETERINARSKE USLUGE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</si>
  <si>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</si>
  <si>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</si>
  <si>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</si>
  <si>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</si>
  <si>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</si>
  <si>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</si>
  <si>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</si>
  <si>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NAKNADE ZA RAD PREDS.TIJELA</t>
  </si>
  <si>
    <t>PREMIJE OSIGURANJA</t>
  </si>
  <si>
    <t>REPREZENTACIJA</t>
  </si>
  <si>
    <t>ČLANARINE</t>
  </si>
  <si>
    <t>PRISTOJBE I NAKNADE</t>
  </si>
  <si>
    <t>TROŠKOVI SUDSKIH POSTUPAKA</t>
  </si>
  <si>
    <t>34</t>
  </si>
  <si>
    <t>343</t>
  </si>
  <si>
    <t>OSTALI FINANCIJSKI RASHODI</t>
  </si>
  <si>
    <t>BANKARSKE USLUGE I USLUGE PLATNOG PROMETA</t>
  </si>
  <si>
    <t>ZATEZNE KAMATE</t>
  </si>
  <si>
    <t>37</t>
  </si>
  <si>
    <t>NAKNADE GRAĐANIMA I KUĆANSTVIMA NA TEMELJU OSIGURANJA I DRUGE NAKNADE</t>
  </si>
  <si>
    <t>372</t>
  </si>
  <si>
    <t>OSTALE NAKNADE GRAĐANIMA I KUĆANSTVIMA IZ PRORAČUNA</t>
  </si>
  <si>
    <t>NAKNADE GRAĐANIMA I KUĆANSTVIMA U NARAVI</t>
  </si>
  <si>
    <t>DONACIJE</t>
  </si>
  <si>
    <t>4</t>
  </si>
  <si>
    <t>42</t>
  </si>
  <si>
    <t>RASHODI ZA NABAVU PROIZVEDENE DUGOTRAJNE IMOVINE</t>
  </si>
  <si>
    <t>421</t>
  </si>
  <si>
    <t>GRAĐEVINSKI OBJEKTI</t>
  </si>
  <si>
    <t>POSLOVNI OBJEKTI</t>
  </si>
  <si>
    <t>422</t>
  </si>
  <si>
    <t>POSTROJENJA I OPREMA</t>
  </si>
  <si>
    <t>UREDSKA OPREMA I NAMJEŠTAJ</t>
  </si>
  <si>
    <t>OPREMA ZA ODRŽAVANJE I ZAŠTITU</t>
  </si>
  <si>
    <t>UREĐAJI, STROJEVI I OPREMA ZA OSTALE NAMJENE</t>
  </si>
  <si>
    <t>424</t>
  </si>
  <si>
    <t>KNJIGE, UMJETNIČKA DJELA</t>
  </si>
  <si>
    <t>KNJIGE</t>
  </si>
  <si>
    <t>45</t>
  </si>
  <si>
    <t>RASHODI ZA DODATNA ULAGANJA NA NEFINANCIJSKOJ IMOVINI</t>
  </si>
  <si>
    <t>451</t>
  </si>
  <si>
    <t>DODATNA ULAGANJA NA GRAĐEVINSKIM OBJEKTIMA</t>
  </si>
  <si>
    <t>Brojčana oznaka i naziv izvora financiranja</t>
  </si>
  <si>
    <t>Indeks 4/2</t>
  </si>
  <si>
    <t>Indeks 4/3</t>
  </si>
  <si>
    <t>Razlika</t>
  </si>
  <si>
    <t>UKUPNO  PRIHODI</t>
  </si>
  <si>
    <t>UKUPNO RASHODI</t>
  </si>
  <si>
    <t>PRENESENI VIŠAK/MANJAK PRIHODA</t>
  </si>
  <si>
    <t>Izvor financiranja 5.&amp;.</t>
  </si>
  <si>
    <t>TEKUĆI PRIJENOSDI IZMEĐU PRORAČUNSKIH KORISNIKA</t>
  </si>
  <si>
    <t>KAPITALNE DONACIJE</t>
  </si>
  <si>
    <t>STAMBENI OBJEKTI</t>
  </si>
  <si>
    <t>Višak prihoda</t>
  </si>
  <si>
    <t>PRIHODI OD NEFINANCIJSKE IMOVINE</t>
  </si>
  <si>
    <t>NAKNADA ZA KORIŠTENJE NEFINANCIJSKE IMOVINE</t>
  </si>
  <si>
    <t>OSTALE NAKNADE TROŠKOVA ZAPOSLENIMA</t>
  </si>
  <si>
    <t>Indeks 4/3*100</t>
  </si>
  <si>
    <t>Rashodi za usluge</t>
  </si>
  <si>
    <t>Građevinski objekti</t>
  </si>
  <si>
    <t>Plaće bruto</t>
  </si>
  <si>
    <t>Doprinosi na plaće</t>
  </si>
  <si>
    <t>Naknade troškova zaposlenima</t>
  </si>
  <si>
    <t>Postrojenja i oprema</t>
  </si>
  <si>
    <t>Dodatna ulaganja na nefin.imovini</t>
  </si>
  <si>
    <t>Rashodi za materijal i energiju</t>
  </si>
  <si>
    <t>381</t>
  </si>
  <si>
    <t>Ostale naknade građanima</t>
  </si>
  <si>
    <t>Plan za 2025.</t>
  </si>
  <si>
    <t>Tekući projekt T100040</t>
  </si>
  <si>
    <t>Stručno usavršavanje djelatnika u školstvu</t>
  </si>
  <si>
    <t>Aktivnost T1000006</t>
  </si>
  <si>
    <t>Produženi boravak</t>
  </si>
  <si>
    <t>Izvorni plan 2025.</t>
  </si>
  <si>
    <t>IZVORNI PLAN 2025</t>
  </si>
  <si>
    <t>Izvorni plan za 2025.</t>
  </si>
  <si>
    <t>FUNKCIJSKA KLAS.</t>
  </si>
  <si>
    <t>0912 SVE-OSIM:</t>
  </si>
  <si>
    <t>0980</t>
  </si>
  <si>
    <t>0960</t>
  </si>
  <si>
    <t>4226</t>
  </si>
  <si>
    <t>Sportska i glazbena oprema</t>
  </si>
  <si>
    <t>5.P.</t>
  </si>
  <si>
    <t>Mileo Todić, dopl.teol.</t>
  </si>
  <si>
    <t>Tekući projekt T100029</t>
  </si>
  <si>
    <t>Ivanić-Grad, 09.07.2025.</t>
  </si>
  <si>
    <t>Izvršenje FP na 31.12.2024.</t>
  </si>
  <si>
    <t>Izvršenje FP na 31.12.2025.</t>
  </si>
  <si>
    <t>Izvor financiranja 5.P.</t>
  </si>
  <si>
    <t>Tekući projekt T100060</t>
  </si>
  <si>
    <t>POMOĆNICI U NASTAVI-ZAGREBAČKA ŽUPANIJA</t>
  </si>
  <si>
    <t>PROGRAM RAZVOJA ODGOJNO OBR.SUSTAVA Nabava dijagnostičkih instrumenata</t>
  </si>
  <si>
    <t>MINIMALNI STANDARD U OSNOVNOM ŠKOLSTVU- MATERIJALNI I FINANCIJSKI RASHODI</t>
  </si>
  <si>
    <t>Aktivnost A100003</t>
  </si>
  <si>
    <t>Energenti</t>
  </si>
  <si>
    <t>Poslovni objekti</t>
  </si>
  <si>
    <t>Kapitalni projekt K100167</t>
  </si>
  <si>
    <t>Hitna sanacija nakon olujnog nevremena</t>
  </si>
  <si>
    <t>Uredski materijal</t>
  </si>
  <si>
    <t>Ostale tekuće donacije</t>
  </si>
  <si>
    <t>Ivanić-Grad, 27.01.2026.</t>
  </si>
  <si>
    <t>Katarina Bečić Mutvar, mag.oec</t>
  </si>
  <si>
    <t>Provjera 1.1.</t>
  </si>
  <si>
    <t>IZVRŠENJE PRIHODA I RASHODA PREMA IZVORIMA FINANCIRANJA 31.12.2025.</t>
  </si>
  <si>
    <t>IZVRŠENJE 31.12.2025.</t>
  </si>
  <si>
    <t>IZVRŠENJE 31.12.2024.</t>
  </si>
  <si>
    <t>Izvršenje 31.12.2024</t>
  </si>
  <si>
    <t>Izvršenje 31.12.2025</t>
  </si>
  <si>
    <t>IZVRŠENJE  FINANCIJSKOG PLANA PRORAČUNSKOG KORISNIKA JEDINICE LOKALNE I PODRUČNE (REGIONALNE) SAMOUPRAVE NA DAN 31.12.2025.</t>
  </si>
  <si>
    <t>IZVRŠENJE FINANCIJSKOG PLANA PRORAČUNSKOG KORISNIKA JEDINICE LOKALNE I PODRUČNE (REGIONALNE) SAMOUPRAVE 
31.12.2025.</t>
  </si>
  <si>
    <t>Izvršenje 31.12.2024.</t>
  </si>
  <si>
    <t>Izvršenje 31.12.2025.</t>
  </si>
  <si>
    <t>IZVRŠENJE  FINANCIJSKOG PLANA PRORAČUNSKOG KORISNIKA JEDINICE LOKALNE I PODRUČNE (REGIONALNE) SAMOUPRAVE NA DAN 31.12.2025</t>
  </si>
  <si>
    <t>IZVRŠENJE PRIHODA PO EKONOMSKOJ KLASIFIKACIJI 31.12.2025.</t>
  </si>
  <si>
    <t>IZVRŠENJE RASHODA PO EKONOMSKOJ KLASIFIKACIJI NA DAN 31.12.2025.</t>
  </si>
  <si>
    <t>04 Poljoprivreda</t>
  </si>
  <si>
    <t>042 Poljoprivreda</t>
  </si>
  <si>
    <t>0421 Poljoprivreda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</si>
</sst>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4"/>
      <color rgb="FF00B050"/>
      <name val="Arial"/>
      <family val="2"/>
      <charset val="238"/>
    </font>
    <font>
      <sz val="10"/>
      <color rgb="FF00B05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10"/>
      <color rgb="FF00B050"/>
      <name val="Calibri"/>
      <family val="2"/>
      <charset val="238"/>
      <scheme val="minor"/>
    </font>
    <font>
      <i/>
      <sz val="10"/>
      <color rgb="FF00B050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CC66FF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0"/>
      <color theme="6" tint="-0.249977111117893"/>
      <name val="Arial"/>
      <family val="2"/>
      <charset val="238"/>
    </font>
    <font>
      <b/>
      <sz val="12"/>
      <color rgb="FFFFFF00"/>
      <name val="Calibri"/>
      <family val="2"/>
      <charset val="238"/>
      <scheme val="minor"/>
    </font>
    <font>
      <b/>
      <sz val="14"/>
      <color rgb="FFFFFF00"/>
      <name val="Calibri"/>
      <family val="2"/>
      <charset val="238"/>
      <scheme val="minor"/>
    </font>
    <font>
      <b/>
      <sz val="14"/>
      <color rgb="FF66FF99"/>
      <name val="Calibri"/>
      <family val="2"/>
      <charset val="238"/>
      <scheme val="minor"/>
    </font>
    <font>
      <b/>
      <sz val="9"/>
      <color rgb="FF00B050"/>
      <name val="Arial"/>
      <family val="2"/>
      <charset val="238"/>
    </font>
    <font>
      <sz val="10"/>
      <color rgb="FF00B0F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CCC0DA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rgb="FFC1C1FF"/>
      </patternFill>
    </fill>
    <fill>
      <patternFill patternType="solid">
        <fgColor theme="9" tint="-0.249977111117893"/>
        <bgColor rgb="FFC1C1FF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0" fillId="0" borderId="0"/>
  </cellStyleXfs>
  <cellXfs count="28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4" fontId="3" fillId="2" borderId="3" xfId="0" applyNumberFormat="1" applyFont="1" applyFill="1" applyBorder="1" applyAlignment="1">
      <alignment horizontal="right"/>
    </xf>
    <xf numFmtId="0" fontId="19" fillId="9" borderId="0" xfId="0" applyNumberFormat="1" applyFont="1" applyFill="1" applyBorder="1" applyAlignment="1" applyProtection="1"/>
    <xf numFmtId="4" fontId="0" fillId="0" borderId="0" xfId="0" applyNumberFormat="1"/>
    <xf numFmtId="4" fontId="3" fillId="2" borderId="4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vertical="center" wrapText="1"/>
    </xf>
    <xf numFmtId="4" fontId="6" fillId="4" borderId="3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6" fillId="4" borderId="1" xfId="0" quotePrefix="1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 applyProtection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0" fontId="0" fillId="0" borderId="0" xfId="0" applyFill="1"/>
    <xf numFmtId="4" fontId="6" fillId="2" borderId="4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vertical="center" wrapText="1"/>
    </xf>
    <xf numFmtId="0" fontId="24" fillId="12" borderId="0" xfId="0" applyNumberFormat="1" applyFont="1" applyFill="1" applyBorder="1" applyAlignment="1" applyProtection="1">
      <alignment horizontal="center" vertical="center" wrapText="1"/>
    </xf>
    <xf numFmtId="4" fontId="25" fillId="0" borderId="0" xfId="0" applyNumberFormat="1" applyFont="1" applyFill="1" applyBorder="1" applyAlignment="1" applyProtection="1">
      <alignment horizontal="center" vertical="center" wrapText="1"/>
    </xf>
    <xf numFmtId="0" fontId="26" fillId="4" borderId="4" xfId="0" applyNumberFormat="1" applyFont="1" applyFill="1" applyBorder="1" applyAlignment="1" applyProtection="1">
      <alignment horizontal="center" vertical="center" wrapText="1"/>
    </xf>
    <xf numFmtId="4" fontId="28" fillId="8" borderId="3" xfId="0" applyNumberFormat="1" applyFont="1" applyFill="1" applyBorder="1" applyAlignment="1" applyProtection="1"/>
    <xf numFmtId="4" fontId="24" fillId="2" borderId="3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 applyProtection="1">
      <alignment horizontal="right" wrapText="1"/>
    </xf>
    <xf numFmtId="4" fontId="26" fillId="7" borderId="3" xfId="0" applyNumberFormat="1" applyFont="1" applyFill="1" applyBorder="1" applyAlignment="1">
      <alignment horizontal="left" vertical="center" wrapText="1" readingOrder="1"/>
    </xf>
    <xf numFmtId="4" fontId="24" fillId="4" borderId="3" xfId="0" applyNumberFormat="1" applyFont="1" applyFill="1" applyBorder="1" applyAlignment="1" applyProtection="1">
      <alignment horizontal="right" wrapText="1"/>
    </xf>
    <xf numFmtId="4" fontId="24" fillId="0" borderId="3" xfId="0" applyNumberFormat="1" applyFont="1" applyFill="1" applyBorder="1" applyAlignment="1">
      <alignment horizontal="right"/>
    </xf>
    <xf numFmtId="0" fontId="29" fillId="0" borderId="0" xfId="0" applyFont="1"/>
    <xf numFmtId="4" fontId="29" fillId="0" borderId="0" xfId="0" applyNumberFormat="1" applyFont="1"/>
    <xf numFmtId="0" fontId="29" fillId="13" borderId="0" xfId="0" applyFont="1" applyFill="1"/>
    <xf numFmtId="0" fontId="29" fillId="0" borderId="0" xfId="0" applyFont="1" applyFill="1"/>
    <xf numFmtId="4" fontId="31" fillId="10" borderId="3" xfId="0" applyNumberFormat="1" applyFont="1" applyFill="1" applyBorder="1" applyAlignment="1">
      <alignment horizontal="right" vertical="center" wrapText="1" readingOrder="1"/>
    </xf>
    <xf numFmtId="4" fontId="30" fillId="7" borderId="3" xfId="0" applyNumberFormat="1" applyFont="1" applyFill="1" applyBorder="1" applyAlignment="1">
      <alignment horizontal="right" vertical="center" wrapText="1" readingOrder="1"/>
    </xf>
    <xf numFmtId="4" fontId="32" fillId="8" borderId="3" xfId="0" applyNumberFormat="1" applyFont="1" applyFill="1" applyBorder="1" applyAlignment="1" applyProtection="1"/>
    <xf numFmtId="4" fontId="33" fillId="4" borderId="3" xfId="0" applyNumberFormat="1" applyFont="1" applyFill="1" applyBorder="1" applyAlignment="1">
      <alignment horizontal="right"/>
    </xf>
    <xf numFmtId="4" fontId="30" fillId="2" borderId="3" xfId="0" applyNumberFormat="1" applyFont="1" applyFill="1" applyBorder="1" applyAlignment="1">
      <alignment horizontal="right"/>
    </xf>
    <xf numFmtId="4" fontId="30" fillId="2" borderId="4" xfId="0" applyNumberFormat="1" applyFont="1" applyFill="1" applyBorder="1" applyAlignment="1">
      <alignment horizontal="right"/>
    </xf>
    <xf numFmtId="4" fontId="31" fillId="6" borderId="3" xfId="0" applyNumberFormat="1" applyFont="1" applyFill="1" applyBorder="1" applyAlignment="1">
      <alignment horizontal="right" vertical="center" wrapText="1" readingOrder="1"/>
    </xf>
    <xf numFmtId="4" fontId="34" fillId="13" borderId="0" xfId="0" applyNumberFormat="1" applyFont="1" applyFill="1"/>
    <xf numFmtId="4" fontId="34" fillId="0" borderId="0" xfId="0" applyNumberFormat="1" applyFont="1"/>
    <xf numFmtId="0" fontId="34" fillId="0" borderId="0" xfId="0" applyFont="1"/>
    <xf numFmtId="4" fontId="9" fillId="2" borderId="3" xfId="0" applyNumberFormat="1" applyFont="1" applyFill="1" applyBorder="1" applyAlignment="1">
      <alignment horizontal="right"/>
    </xf>
    <xf numFmtId="4" fontId="11" fillId="2" borderId="3" xfId="0" applyNumberFormat="1" applyFont="1" applyFill="1" applyBorder="1" applyAlignment="1">
      <alignment horizontal="right"/>
    </xf>
    <xf numFmtId="4" fontId="11" fillId="7" borderId="3" xfId="0" applyNumberFormat="1" applyFont="1" applyFill="1" applyBorder="1" applyAlignment="1">
      <alignment horizontal="right" vertical="center" wrapText="1" readingOrder="1"/>
    </xf>
    <xf numFmtId="4" fontId="10" fillId="8" borderId="3" xfId="0" applyNumberFormat="1" applyFont="1" applyFill="1" applyBorder="1" applyAlignment="1" applyProtection="1"/>
    <xf numFmtId="4" fontId="9" fillId="4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>
      <alignment horizontal="right"/>
    </xf>
    <xf numFmtId="4" fontId="17" fillId="11" borderId="3" xfId="0" applyNumberFormat="1" applyFont="1" applyFill="1" applyBorder="1" applyAlignment="1">
      <alignment horizontal="right" vertical="center" wrapText="1" readingOrder="1"/>
    </xf>
    <xf numFmtId="4" fontId="10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 applyProtection="1">
      <alignment horizontal="right" wrapText="1"/>
    </xf>
    <xf numFmtId="0" fontId="11" fillId="4" borderId="3" xfId="0" applyNumberFormat="1" applyFont="1" applyFill="1" applyBorder="1" applyAlignment="1" applyProtection="1">
      <alignment horizontal="center" vertical="center" wrapText="1"/>
    </xf>
    <xf numFmtId="0" fontId="17" fillId="10" borderId="3" xfId="0" applyFont="1" applyFill="1" applyBorder="1" applyAlignment="1">
      <alignment horizontal="left" vertical="center" wrapText="1" readingOrder="1"/>
    </xf>
    <xf numFmtId="0" fontId="11" fillId="7" borderId="3" xfId="0" applyFont="1" applyFill="1" applyBorder="1" applyAlignment="1">
      <alignment horizontal="left" vertical="center" wrapText="1" readingOrder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wrapText="1"/>
    </xf>
    <xf numFmtId="0" fontId="9" fillId="2" borderId="4" xfId="0" applyNumberFormat="1" applyFont="1" applyFill="1" applyBorder="1" applyAlignment="1" applyProtection="1">
      <alignment horizontal="left" vertical="center" wrapText="1"/>
    </xf>
    <xf numFmtId="0" fontId="17" fillId="6" borderId="3" xfId="0" applyFont="1" applyFill="1" applyBorder="1" applyAlignment="1">
      <alignment horizontal="left" vertical="center" wrapText="1" readingOrder="1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wrapText="1"/>
    </xf>
    <xf numFmtId="0" fontId="17" fillId="11" borderId="3" xfId="0" applyFont="1" applyFill="1" applyBorder="1" applyAlignment="1">
      <alignment horizontal="left" vertical="center" wrapText="1" readingOrder="1"/>
    </xf>
    <xf numFmtId="49" fontId="9" fillId="2" borderId="1" xfId="0" applyNumberFormat="1" applyFont="1" applyFill="1" applyBorder="1" applyAlignment="1" applyProtection="1">
      <alignment horizontal="left" vertical="center" wrapText="1" indent="1"/>
    </xf>
    <xf numFmtId="49" fontId="9" fillId="2" borderId="2" xfId="0" applyNumberFormat="1" applyFont="1" applyFill="1" applyBorder="1" applyAlignment="1" applyProtection="1">
      <alignment horizontal="left" vertical="center" wrapText="1" indent="1"/>
    </xf>
    <xf numFmtId="49" fontId="9" fillId="2" borderId="4" xfId="0" applyNumberFormat="1" applyFont="1" applyFill="1" applyBorder="1" applyAlignment="1" applyProtection="1">
      <alignment horizontal="left" vertical="center" wrapText="1" indent="1"/>
    </xf>
    <xf numFmtId="0" fontId="18" fillId="0" borderId="3" xfId="0" applyNumberFormat="1" applyFont="1" applyFill="1" applyBorder="1" applyAlignment="1" applyProtection="1">
      <alignment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 applyProtection="1">
      <alignment vertical="center" wrapText="1"/>
    </xf>
    <xf numFmtId="49" fontId="9" fillId="2" borderId="4" xfId="0" applyNumberFormat="1" applyFont="1" applyFill="1" applyBorder="1" applyAlignment="1" applyProtection="1">
      <alignment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36" fillId="0" borderId="0" xfId="0" applyFont="1"/>
    <xf numFmtId="4" fontId="36" fillId="0" borderId="0" xfId="0" applyNumberFormat="1" applyFont="1"/>
    <xf numFmtId="4" fontId="37" fillId="0" borderId="0" xfId="0" applyNumberFormat="1" applyFont="1"/>
    <xf numFmtId="4" fontId="39" fillId="0" borderId="0" xfId="0" applyNumberFormat="1" applyFont="1" applyFill="1" applyBorder="1" applyAlignment="1" applyProtection="1">
      <alignment horizontal="center" vertical="center" wrapText="1"/>
    </xf>
    <xf numFmtId="0" fontId="40" fillId="4" borderId="4" xfId="0" applyNumberFormat="1" applyFont="1" applyFill="1" applyBorder="1" applyAlignment="1" applyProtection="1">
      <alignment horizontal="center" vertical="center" wrapText="1"/>
    </xf>
    <xf numFmtId="4" fontId="41" fillId="10" borderId="3" xfId="0" applyNumberFormat="1" applyFont="1" applyFill="1" applyBorder="1" applyAlignment="1">
      <alignment horizontal="right" vertical="center" wrapText="1" readingOrder="1"/>
    </xf>
    <xf numFmtId="4" fontId="40" fillId="7" borderId="3" xfId="0" applyNumberFormat="1" applyFont="1" applyFill="1" applyBorder="1" applyAlignment="1">
      <alignment horizontal="right" vertical="center" wrapText="1" readingOrder="1"/>
    </xf>
    <xf numFmtId="4" fontId="42" fillId="8" borderId="3" xfId="0" applyNumberFormat="1" applyFont="1" applyFill="1" applyBorder="1" applyAlignment="1" applyProtection="1"/>
    <xf numFmtId="4" fontId="43" fillId="4" borderId="3" xfId="0" applyNumberFormat="1" applyFont="1" applyFill="1" applyBorder="1" applyAlignment="1">
      <alignment horizontal="right"/>
    </xf>
    <xf numFmtId="4" fontId="40" fillId="2" borderId="3" xfId="0" applyNumberFormat="1" applyFont="1" applyFill="1" applyBorder="1" applyAlignment="1">
      <alignment horizontal="right"/>
    </xf>
    <xf numFmtId="4" fontId="43" fillId="2" borderId="4" xfId="0" applyNumberFormat="1" applyFont="1" applyFill="1" applyBorder="1" applyAlignment="1">
      <alignment horizontal="right"/>
    </xf>
    <xf numFmtId="4" fontId="41" fillId="6" borderId="3" xfId="0" applyNumberFormat="1" applyFont="1" applyFill="1" applyBorder="1" applyAlignment="1">
      <alignment horizontal="right" vertical="center" wrapText="1" readingOrder="1"/>
    </xf>
    <xf numFmtId="4" fontId="40" fillId="2" borderId="4" xfId="0" applyNumberFormat="1" applyFont="1" applyFill="1" applyBorder="1" applyAlignment="1">
      <alignment horizontal="right"/>
    </xf>
    <xf numFmtId="4" fontId="41" fillId="11" borderId="3" xfId="0" applyNumberFormat="1" applyFont="1" applyFill="1" applyBorder="1" applyAlignment="1">
      <alignment horizontal="right" vertical="center" wrapText="1" readingOrder="1"/>
    </xf>
    <xf numFmtId="4" fontId="36" fillId="13" borderId="0" xfId="0" applyNumberFormat="1" applyFont="1" applyFill="1"/>
    <xf numFmtId="0" fontId="11" fillId="4" borderId="4" xfId="0" applyNumberFormat="1" applyFont="1" applyFill="1" applyBorder="1" applyAlignment="1" applyProtection="1">
      <alignment horizontal="center" vertical="center" wrapText="1"/>
    </xf>
    <xf numFmtId="4" fontId="43" fillId="2" borderId="3" xfId="0" applyNumberFormat="1" applyFont="1" applyFill="1" applyBorder="1" applyAlignment="1">
      <alignment horizontal="right"/>
    </xf>
    <xf numFmtId="4" fontId="42" fillId="2" borderId="3" xfId="0" applyNumberFormat="1" applyFont="1" applyFill="1" applyBorder="1" applyAlignment="1">
      <alignment horizontal="right"/>
    </xf>
    <xf numFmtId="4" fontId="43" fillId="0" borderId="3" xfId="0" applyNumberFormat="1" applyFont="1" applyFill="1" applyBorder="1" applyAlignment="1">
      <alignment horizontal="right"/>
    </xf>
    <xf numFmtId="0" fontId="29" fillId="14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NumberFormat="1" applyFont="1" applyFill="1" applyBorder="1" applyAlignment="1" applyProtection="1">
      <alignment vertical="center" wrapText="1"/>
    </xf>
    <xf numFmtId="4" fontId="30" fillId="0" borderId="3" xfId="0" applyNumberFormat="1" applyFont="1" applyFill="1" applyBorder="1" applyAlignment="1">
      <alignment horizontal="right"/>
    </xf>
    <xf numFmtId="0" fontId="34" fillId="0" borderId="0" xfId="0" applyFont="1" applyFill="1"/>
    <xf numFmtId="4" fontId="0" fillId="0" borderId="0" xfId="0" applyNumberFormat="1" applyFill="1"/>
    <xf numFmtId="4" fontId="34" fillId="0" borderId="0" xfId="0" applyNumberFormat="1" applyFont="1" applyFill="1"/>
    <xf numFmtId="4" fontId="29" fillId="0" borderId="0" xfId="0" applyNumberFormat="1" applyFont="1" applyFill="1"/>
    <xf numFmtId="4" fontId="36" fillId="0" borderId="0" xfId="0" applyNumberFormat="1" applyFont="1" applyFill="1"/>
    <xf numFmtId="0" fontId="36" fillId="0" borderId="0" xfId="0" applyFont="1" applyFill="1"/>
    <xf numFmtId="0" fontId="11" fillId="4" borderId="6" xfId="0" applyNumberFormat="1" applyFont="1" applyFill="1" applyBorder="1" applyAlignment="1" applyProtection="1">
      <alignment horizontal="center" vertical="center" wrapText="1"/>
    </xf>
    <xf numFmtId="0" fontId="1" fillId="15" borderId="0" xfId="0" applyFont="1" applyFill="1" applyAlignment="1">
      <alignment horizontal="center"/>
    </xf>
    <xf numFmtId="0" fontId="16" fillId="15" borderId="0" xfId="0" applyFont="1" applyFill="1" applyAlignment="1">
      <alignment horizontal="center"/>
    </xf>
    <xf numFmtId="4" fontId="16" fillId="15" borderId="0" xfId="0" applyNumberFormat="1" applyFont="1" applyFill="1" applyAlignment="1">
      <alignment horizontal="center" wrapText="1"/>
    </xf>
    <xf numFmtId="0" fontId="16" fillId="15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13" borderId="0" xfId="0" applyFont="1" applyFill="1" applyAlignment="1">
      <alignment horizontal="center"/>
    </xf>
    <xf numFmtId="0" fontId="16" fillId="13" borderId="0" xfId="0" applyFont="1" applyFill="1" applyAlignment="1">
      <alignment horizontal="left"/>
    </xf>
    <xf numFmtId="4" fontId="16" fillId="13" borderId="0" xfId="0" applyNumberFormat="1" applyFont="1" applyFill="1" applyAlignment="1">
      <alignment horizontal="right"/>
    </xf>
    <xf numFmtId="2" fontId="16" fillId="13" borderId="0" xfId="0" applyNumberFormat="1" applyFont="1" applyFill="1" applyAlignment="1">
      <alignment horizontal="center"/>
    </xf>
    <xf numFmtId="0" fontId="1" fillId="16" borderId="0" xfId="0" applyFont="1" applyFill="1"/>
    <xf numFmtId="0" fontId="16" fillId="16" borderId="0" xfId="0" applyFont="1" applyFill="1"/>
    <xf numFmtId="4" fontId="16" fillId="16" borderId="0" xfId="0" applyNumberFormat="1" applyFont="1" applyFill="1"/>
    <xf numFmtId="2" fontId="16" fillId="16" borderId="0" xfId="0" applyNumberFormat="1" applyFont="1" applyFill="1"/>
    <xf numFmtId="0" fontId="1" fillId="0" borderId="0" xfId="0" applyFont="1"/>
    <xf numFmtId="0" fontId="1" fillId="17" borderId="0" xfId="0" applyFont="1" applyFill="1"/>
    <xf numFmtId="0" fontId="16" fillId="17" borderId="0" xfId="0" applyFont="1" applyFill="1"/>
    <xf numFmtId="4" fontId="16" fillId="17" borderId="0" xfId="0" applyNumberFormat="1" applyFont="1" applyFill="1"/>
    <xf numFmtId="2" fontId="16" fillId="17" borderId="0" xfId="0" applyNumberFormat="1" applyFont="1" applyFill="1"/>
    <xf numFmtId="0" fontId="1" fillId="18" borderId="0" xfId="0" applyFont="1" applyFill="1"/>
    <xf numFmtId="0" fontId="16" fillId="18" borderId="0" xfId="0" applyFont="1" applyFill="1"/>
    <xf numFmtId="4" fontId="16" fillId="18" borderId="0" xfId="0" applyNumberFormat="1" applyFont="1" applyFill="1"/>
    <xf numFmtId="2" fontId="16" fillId="18" borderId="0" xfId="0" applyNumberFormat="1" applyFont="1" applyFill="1"/>
    <xf numFmtId="0" fontId="0" fillId="0" borderId="0" xfId="0" applyAlignment="1">
      <alignment horizontal="left"/>
    </xf>
    <xf numFmtId="0" fontId="44" fillId="0" borderId="0" xfId="0" applyFont="1"/>
    <xf numFmtId="4" fontId="44" fillId="0" borderId="0" xfId="0" applyNumberFormat="1" applyFont="1"/>
    <xf numFmtId="2" fontId="44" fillId="0" borderId="0" xfId="0" applyNumberFormat="1" applyFont="1"/>
    <xf numFmtId="0" fontId="44" fillId="0" borderId="0" xfId="0" applyFont="1" applyAlignment="1">
      <alignment horizontal="right"/>
    </xf>
    <xf numFmtId="0" fontId="1" fillId="17" borderId="0" xfId="0" applyFont="1" applyFill="1" applyAlignment="1">
      <alignment horizontal="left"/>
    </xf>
    <xf numFmtId="2" fontId="16" fillId="17" borderId="0" xfId="0" applyNumberFormat="1" applyFont="1" applyFill="1" applyAlignment="1">
      <alignment horizontal="right"/>
    </xf>
    <xf numFmtId="0" fontId="1" fillId="18" borderId="0" xfId="0" applyFont="1" applyFill="1" applyAlignment="1">
      <alignment horizontal="left"/>
    </xf>
    <xf numFmtId="2" fontId="16" fillId="18" borderId="0" xfId="0" applyNumberFormat="1" applyFont="1" applyFill="1" applyAlignment="1">
      <alignment horizontal="right"/>
    </xf>
    <xf numFmtId="0" fontId="1" fillId="16" borderId="0" xfId="0" applyFont="1" applyFill="1" applyAlignment="1">
      <alignment horizontal="left"/>
    </xf>
    <xf numFmtId="2" fontId="16" fillId="15" borderId="0" xfId="0" applyNumberFormat="1" applyFont="1" applyFill="1" applyAlignment="1">
      <alignment horizontal="center" wrapText="1"/>
    </xf>
    <xf numFmtId="2" fontId="16" fillId="13" borderId="0" xfId="0" applyNumberFormat="1" applyFont="1" applyFill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3" fontId="46" fillId="18" borderId="3" xfId="0" applyNumberFormat="1" applyFont="1" applyFill="1" applyBorder="1" applyAlignment="1">
      <alignment horizontal="center"/>
    </xf>
    <xf numFmtId="0" fontId="45" fillId="18" borderId="3" xfId="0" quotePrefix="1" applyFont="1" applyFill="1" applyBorder="1" applyAlignment="1">
      <alignment horizontal="left" vertical="center"/>
    </xf>
    <xf numFmtId="0" fontId="45" fillId="18" borderId="3" xfId="0" applyNumberFormat="1" applyFont="1" applyFill="1" applyBorder="1" applyAlignment="1" applyProtection="1">
      <alignment horizontal="left" vertical="center" wrapText="1"/>
    </xf>
    <xf numFmtId="4" fontId="46" fillId="18" borderId="3" xfId="0" applyNumberFormat="1" applyFont="1" applyFill="1" applyBorder="1" applyAlignment="1">
      <alignment horizontal="right"/>
    </xf>
    <xf numFmtId="0" fontId="47" fillId="0" borderId="3" xfId="0" applyNumberFormat="1" applyFont="1" applyFill="1" applyBorder="1" applyAlignment="1" applyProtection="1">
      <alignment horizontal="left" vertical="center" wrapText="1"/>
    </xf>
    <xf numFmtId="0" fontId="48" fillId="0" borderId="3" xfId="0" applyNumberFormat="1" applyFont="1" applyFill="1" applyBorder="1" applyAlignment="1" applyProtection="1">
      <alignment horizontal="left" vertical="center" wrapText="1"/>
    </xf>
    <xf numFmtId="4" fontId="49" fillId="0" borderId="3" xfId="0" applyNumberFormat="1" applyFont="1" applyFill="1" applyBorder="1" applyAlignment="1">
      <alignment horizontal="right"/>
    </xf>
    <xf numFmtId="4" fontId="0" fillId="18" borderId="0" xfId="0" applyNumberFormat="1" applyFont="1" applyFill="1"/>
    <xf numFmtId="0" fontId="0" fillId="18" borderId="0" xfId="0" applyFill="1"/>
    <xf numFmtId="4" fontId="0" fillId="18" borderId="0" xfId="0" applyNumberFormat="1" applyFill="1"/>
    <xf numFmtId="0" fontId="0" fillId="4" borderId="0" xfId="0" applyFill="1"/>
    <xf numFmtId="4" fontId="0" fillId="4" borderId="0" xfId="0" applyNumberFormat="1" applyFill="1"/>
    <xf numFmtId="0" fontId="45" fillId="4" borderId="3" xfId="0" quotePrefix="1" applyFont="1" applyFill="1" applyBorder="1" applyAlignment="1">
      <alignment horizontal="left" vertical="center"/>
    </xf>
    <xf numFmtId="4" fontId="0" fillId="4" borderId="0" xfId="0" applyNumberFormat="1" applyFont="1" applyFill="1"/>
    <xf numFmtId="4" fontId="46" fillId="4" borderId="3" xfId="0" applyNumberFormat="1" applyFont="1" applyFill="1" applyBorder="1" applyAlignment="1">
      <alignment horizontal="right"/>
    </xf>
    <xf numFmtId="0" fontId="47" fillId="18" borderId="3" xfId="0" applyNumberFormat="1" applyFont="1" applyFill="1" applyBorder="1" applyAlignment="1" applyProtection="1">
      <alignment horizontal="left" vertical="center" wrapText="1"/>
    </xf>
    <xf numFmtId="4" fontId="50" fillId="18" borderId="3" xfId="0" applyNumberFormat="1" applyFont="1" applyFill="1" applyBorder="1" applyAlignment="1">
      <alignment horizontal="right"/>
    </xf>
    <xf numFmtId="4" fontId="48" fillId="0" borderId="3" xfId="0" applyNumberFormat="1" applyFont="1" applyFill="1" applyBorder="1" applyAlignment="1">
      <alignment horizontal="right"/>
    </xf>
    <xf numFmtId="4" fontId="51" fillId="0" borderId="3" xfId="0" applyNumberFormat="1" applyFont="1" applyFill="1" applyBorder="1" applyAlignment="1">
      <alignment horizontal="right"/>
    </xf>
    <xf numFmtId="2" fontId="44" fillId="0" borderId="0" xfId="0" applyNumberFormat="1" applyFont="1" applyAlignment="1">
      <alignment horizontal="right"/>
    </xf>
    <xf numFmtId="0" fontId="52" fillId="0" borderId="4" xfId="0" applyNumberFormat="1" applyFont="1" applyFill="1" applyBorder="1" applyAlignment="1" applyProtection="1">
      <alignment horizontal="left" vertical="center" wrapText="1"/>
    </xf>
    <xf numFmtId="4" fontId="52" fillId="0" borderId="3" xfId="0" applyNumberFormat="1" applyFont="1" applyFill="1" applyBorder="1" applyAlignment="1">
      <alignment horizontal="right"/>
    </xf>
    <xf numFmtId="4" fontId="25" fillId="5" borderId="0" xfId="0" applyNumberFormat="1" applyFont="1" applyFill="1" applyBorder="1" applyAlignment="1" applyProtection="1">
      <alignment horizontal="center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4" fontId="30" fillId="5" borderId="3" xfId="0" applyNumberFormat="1" applyFont="1" applyFill="1" applyBorder="1" applyAlignment="1">
      <alignment horizontal="right"/>
    </xf>
    <xf numFmtId="4" fontId="38" fillId="0" borderId="0" xfId="0" applyNumberFormat="1" applyFont="1"/>
    <xf numFmtId="0" fontId="53" fillId="5" borderId="0" xfId="0" applyFont="1" applyFill="1"/>
    <xf numFmtId="49" fontId="54" fillId="5" borderId="0" xfId="0" applyNumberFormat="1" applyFont="1" applyFill="1" applyAlignment="1">
      <alignment horizontal="center"/>
    </xf>
    <xf numFmtId="49" fontId="55" fillId="5" borderId="0" xfId="0" applyNumberFormat="1" applyFont="1" applyFill="1" applyAlignment="1">
      <alignment horizontal="center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4" fontId="56" fillId="6" borderId="3" xfId="0" applyNumberFormat="1" applyFont="1" applyFill="1" applyBorder="1" applyAlignment="1">
      <alignment horizontal="right" vertical="center" wrapText="1" readingOrder="1"/>
    </xf>
    <xf numFmtId="4" fontId="32" fillId="8" borderId="3" xfId="0" applyNumberFormat="1" applyFont="1" applyFill="1" applyBorder="1" applyAlignment="1" applyProtection="1">
      <alignment horizontal="right"/>
    </xf>
    <xf numFmtId="4" fontId="26" fillId="2" borderId="3" xfId="0" applyNumberFormat="1" applyFont="1" applyFill="1" applyBorder="1" applyAlignment="1">
      <alignment horizontal="right"/>
    </xf>
    <xf numFmtId="4" fontId="33" fillId="2" borderId="4" xfId="0" applyNumberFormat="1" applyFont="1" applyFill="1" applyBorder="1" applyAlignment="1">
      <alignment horizontal="right"/>
    </xf>
    <xf numFmtId="4" fontId="26" fillId="7" borderId="3" xfId="0" applyNumberFormat="1" applyFont="1" applyFill="1" applyBorder="1" applyAlignment="1">
      <alignment horizontal="right" vertical="center" wrapText="1" readingOrder="1"/>
    </xf>
    <xf numFmtId="4" fontId="24" fillId="4" borderId="3" xfId="0" applyNumberFormat="1" applyFont="1" applyFill="1" applyBorder="1" applyAlignment="1">
      <alignment horizontal="right"/>
    </xf>
    <xf numFmtId="0" fontId="57" fillId="2" borderId="4" xfId="0" applyNumberFormat="1" applyFont="1" applyFill="1" applyBorder="1" applyAlignment="1" applyProtection="1">
      <alignment horizontal="left" vertical="center" wrapText="1"/>
    </xf>
    <xf numFmtId="4" fontId="57" fillId="2" borderId="4" xfId="0" applyNumberFormat="1" applyFont="1" applyFill="1" applyBorder="1" applyAlignment="1">
      <alignment horizontal="right"/>
    </xf>
    <xf numFmtId="4" fontId="57" fillId="2" borderId="3" xfId="0" applyNumberFormat="1" applyFont="1" applyFill="1" applyBorder="1" applyAlignment="1">
      <alignment horizontal="right"/>
    </xf>
    <xf numFmtId="4" fontId="52" fillId="0" borderId="4" xfId="0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45" fillId="18" borderId="1" xfId="0" quotePrefix="1" applyFont="1" applyFill="1" applyBorder="1" applyAlignment="1">
      <alignment horizontal="center" vertical="center"/>
    </xf>
    <xf numFmtId="0" fontId="45" fillId="18" borderId="4" xfId="0" quotePrefix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49" fontId="57" fillId="2" borderId="1" xfId="0" applyNumberFormat="1" applyFont="1" applyFill="1" applyBorder="1" applyAlignment="1" applyProtection="1">
      <alignment horizontal="left" vertical="center" wrapText="1" indent="1"/>
    </xf>
    <xf numFmtId="49" fontId="57" fillId="2" borderId="2" xfId="0" applyNumberFormat="1" applyFont="1" applyFill="1" applyBorder="1" applyAlignment="1" applyProtection="1">
      <alignment horizontal="left" vertical="center" wrapText="1" indent="1"/>
    </xf>
    <xf numFmtId="49" fontId="57" fillId="2" borderId="4" xfId="0" applyNumberFormat="1" applyFont="1" applyFill="1" applyBorder="1" applyAlignment="1" applyProtection="1">
      <alignment horizontal="left" vertical="center" wrapText="1" indent="1"/>
    </xf>
    <xf numFmtId="0" fontId="11" fillId="2" borderId="1" xfId="0" applyNumberFormat="1" applyFont="1" applyFill="1" applyBorder="1" applyAlignment="1" applyProtection="1">
      <alignment horizontal="left" vertical="center" wrapText="1" indent="1"/>
    </xf>
    <xf numFmtId="0" fontId="11" fillId="2" borderId="2" xfId="0" applyNumberFormat="1" applyFont="1" applyFill="1" applyBorder="1" applyAlignment="1" applyProtection="1">
      <alignment horizontal="left" vertical="center" wrapText="1" indent="1"/>
    </xf>
    <xf numFmtId="0" fontId="11" fillId="2" borderId="4" xfId="0" applyNumberFormat="1" applyFont="1" applyFill="1" applyBorder="1" applyAlignment="1" applyProtection="1">
      <alignment horizontal="left" vertical="center" wrapText="1" indent="1"/>
    </xf>
    <xf numFmtId="49" fontId="52" fillId="0" borderId="1" xfId="0" applyNumberFormat="1" applyFont="1" applyFill="1" applyBorder="1" applyAlignment="1" applyProtection="1">
      <alignment horizontal="left" vertical="center" wrapText="1" indent="1"/>
    </xf>
    <xf numFmtId="49" fontId="52" fillId="0" borderId="2" xfId="0" applyNumberFormat="1" applyFont="1" applyFill="1" applyBorder="1" applyAlignment="1" applyProtection="1">
      <alignment horizontal="left" vertical="center" wrapText="1" indent="1"/>
    </xf>
    <xf numFmtId="49" fontId="52" fillId="0" borderId="4" xfId="0" applyNumberFormat="1" applyFont="1" applyFill="1" applyBorder="1" applyAlignment="1" applyProtection="1">
      <alignment horizontal="left" vertical="center" wrapText="1" indent="1"/>
    </xf>
    <xf numFmtId="49" fontId="9" fillId="2" borderId="1" xfId="0" applyNumberFormat="1" applyFont="1" applyFill="1" applyBorder="1" applyAlignment="1" applyProtection="1">
      <alignment horizontal="left" vertical="center" wrapText="1" indent="1"/>
    </xf>
    <xf numFmtId="49" fontId="9" fillId="2" borderId="2" xfId="0" applyNumberFormat="1" applyFont="1" applyFill="1" applyBorder="1" applyAlignment="1" applyProtection="1">
      <alignment horizontal="left" vertical="center" wrapText="1" indent="1"/>
    </xf>
    <xf numFmtId="49" fontId="9" fillId="2" borderId="4" xfId="0" applyNumberFormat="1" applyFont="1" applyFill="1" applyBorder="1" applyAlignment="1" applyProtection="1">
      <alignment horizontal="left" vertical="center" wrapText="1" inden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6" borderId="2" xfId="0" applyFont="1" applyFill="1" applyBorder="1" applyAlignment="1">
      <alignment horizontal="center" vertical="center" wrapText="1" readingOrder="1"/>
    </xf>
    <xf numFmtId="0" fontId="17" fillId="6" borderId="4" xfId="0" applyFont="1" applyFill="1" applyBorder="1" applyAlignment="1">
      <alignment horizontal="center" vertical="center" wrapText="1" readingOrder="1"/>
    </xf>
    <xf numFmtId="0" fontId="11" fillId="7" borderId="1" xfId="0" applyFont="1" applyFill="1" applyBorder="1" applyAlignment="1">
      <alignment horizontal="left" vertical="center" wrapText="1" readingOrder="1"/>
    </xf>
    <xf numFmtId="0" fontId="11" fillId="7" borderId="2" xfId="0" applyFont="1" applyFill="1" applyBorder="1" applyAlignment="1">
      <alignment horizontal="left" vertical="center" wrapText="1" readingOrder="1"/>
    </xf>
    <xf numFmtId="0" fontId="11" fillId="7" borderId="4" xfId="0" applyFont="1" applyFill="1" applyBorder="1" applyAlignment="1">
      <alignment horizontal="left" vertical="center" wrapText="1" readingOrder="1"/>
    </xf>
    <xf numFmtId="4" fontId="10" fillId="8" borderId="1" xfId="0" applyNumberFormat="1" applyFont="1" applyFill="1" applyBorder="1" applyAlignment="1" applyProtection="1">
      <alignment horizontal="left"/>
    </xf>
    <xf numFmtId="4" fontId="10" fillId="8" borderId="2" xfId="0" applyNumberFormat="1" applyFont="1" applyFill="1" applyBorder="1" applyAlignment="1" applyProtection="1">
      <alignment horizontal="left"/>
    </xf>
    <xf numFmtId="4" fontId="10" fillId="8" borderId="4" xfId="0" applyNumberFormat="1" applyFont="1" applyFill="1" applyBorder="1" applyAlignment="1" applyProtection="1">
      <alignment horizontal="left"/>
    </xf>
    <xf numFmtId="0" fontId="17" fillId="11" borderId="1" xfId="0" applyFont="1" applyFill="1" applyBorder="1" applyAlignment="1">
      <alignment horizontal="center" vertical="center" wrapText="1" readingOrder="1"/>
    </xf>
    <xf numFmtId="0" fontId="17" fillId="11" borderId="2" xfId="0" applyFont="1" applyFill="1" applyBorder="1" applyAlignment="1">
      <alignment horizontal="center" vertical="center" wrapText="1" readingOrder="1"/>
    </xf>
    <xf numFmtId="0" fontId="17" fillId="11" borderId="4" xfId="0" applyFont="1" applyFill="1" applyBorder="1" applyAlignment="1">
      <alignment horizontal="center" vertical="center" wrapText="1" readingOrder="1"/>
    </xf>
    <xf numFmtId="0" fontId="9" fillId="2" borderId="1" xfId="0" applyNumberFormat="1" applyFont="1" applyFill="1" applyBorder="1" applyAlignment="1" applyProtection="1">
      <alignment horizontal="left" vertical="center" wrapText="1" indent="1"/>
    </xf>
    <xf numFmtId="0" fontId="9" fillId="2" borderId="2" xfId="0" applyNumberFormat="1" applyFont="1" applyFill="1" applyBorder="1" applyAlignment="1" applyProtection="1">
      <alignment horizontal="left" vertical="center" wrapText="1" indent="1"/>
    </xf>
    <xf numFmtId="0" fontId="9" fillId="2" borderId="4" xfId="0" applyNumberFormat="1" applyFont="1" applyFill="1" applyBorder="1" applyAlignment="1" applyProtection="1">
      <alignment horizontal="left" vertical="center" wrapText="1" inden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35" fillId="0" borderId="0" xfId="0" applyFont="1" applyAlignment="1">
      <alignment wrapText="1"/>
    </xf>
    <xf numFmtId="0" fontId="26" fillId="4" borderId="1" xfId="0" applyNumberFormat="1" applyFont="1" applyFill="1" applyBorder="1" applyAlignment="1" applyProtection="1">
      <alignment horizontal="center" vertical="center" wrapText="1"/>
    </xf>
    <xf numFmtId="0" fontId="27" fillId="4" borderId="2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 readingOrder="1"/>
    </xf>
    <xf numFmtId="0" fontId="17" fillId="10" borderId="2" xfId="0" applyFont="1" applyFill="1" applyBorder="1" applyAlignment="1">
      <alignment horizontal="center" vertical="center" wrapText="1" readingOrder="1"/>
    </xf>
    <xf numFmtId="0" fontId="17" fillId="10" borderId="4" xfId="0" applyFont="1" applyFill="1" applyBorder="1" applyAlignment="1">
      <alignment horizontal="center" vertical="center" wrapText="1" readingOrder="1"/>
    </xf>
  </cellXfs>
  <cellStyles count="2">
    <cellStyle name="Normal" xfId="1"/>
    <cellStyle name="Normalno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view="pageBreakPreview" topLeftCell="C1" zoomScale="75" zoomScaleNormal="100" zoomScaleSheetLayoutView="75" workbookViewId="0">
      <selection activeCell="J10" sqref="J10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222" t="s">
        <v>440</v>
      </c>
      <c r="B1" s="222"/>
      <c r="C1" s="222"/>
      <c r="D1" s="222"/>
      <c r="E1" s="222"/>
      <c r="F1" s="222"/>
      <c r="G1" s="222"/>
      <c r="H1" s="222"/>
      <c r="I1" s="222"/>
      <c r="J1" s="129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27"/>
    </row>
    <row r="3" spans="1:10" ht="15.75" x14ac:dyDescent="0.25">
      <c r="A3" s="222" t="s">
        <v>29</v>
      </c>
      <c r="B3" s="222"/>
      <c r="C3" s="222"/>
      <c r="D3" s="222"/>
      <c r="E3" s="222"/>
      <c r="F3" s="222"/>
      <c r="G3" s="222"/>
      <c r="H3" s="239"/>
      <c r="I3" s="239"/>
      <c r="J3" s="131"/>
    </row>
    <row r="4" spans="1:10" ht="18" x14ac:dyDescent="0.25">
      <c r="A4" s="5"/>
      <c r="B4" s="5"/>
      <c r="C4" s="5"/>
      <c r="D4" s="5"/>
      <c r="E4" s="5"/>
      <c r="F4" s="5"/>
      <c r="G4" s="5"/>
      <c r="H4" s="6"/>
      <c r="I4" s="6"/>
      <c r="J4" s="6"/>
    </row>
    <row r="5" spans="1:10" ht="18" customHeight="1" x14ac:dyDescent="0.25">
      <c r="A5" s="222" t="s">
        <v>37</v>
      </c>
      <c r="B5" s="223"/>
      <c r="C5" s="223"/>
      <c r="D5" s="223"/>
      <c r="E5" s="223"/>
      <c r="F5" s="223"/>
      <c r="G5" s="223"/>
      <c r="H5" s="223"/>
      <c r="I5" s="223"/>
      <c r="J5" s="130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35" t="s">
        <v>195</v>
      </c>
      <c r="J6" s="35" t="s">
        <v>195</v>
      </c>
    </row>
    <row r="7" spans="1:10" x14ac:dyDescent="0.25">
      <c r="A7" s="29"/>
      <c r="B7" s="30"/>
      <c r="C7" s="30"/>
      <c r="D7" s="31"/>
      <c r="E7" s="32"/>
      <c r="F7" s="4" t="s">
        <v>437</v>
      </c>
      <c r="G7" s="4" t="s">
        <v>406</v>
      </c>
      <c r="H7" s="4" t="s">
        <v>438</v>
      </c>
      <c r="I7" s="143" t="s">
        <v>243</v>
      </c>
      <c r="J7" s="143" t="s">
        <v>244</v>
      </c>
    </row>
    <row r="8" spans="1:10" x14ac:dyDescent="0.25">
      <c r="A8" s="240" t="s">
        <v>0</v>
      </c>
      <c r="B8" s="236"/>
      <c r="C8" s="236"/>
      <c r="D8" s="236"/>
      <c r="E8" s="241"/>
      <c r="F8" s="45">
        <f>SUM(F9:F10)+0.02</f>
        <v>1948770.41</v>
      </c>
      <c r="G8" s="45">
        <f>SUM(G9:G10)</f>
        <v>2041287.29</v>
      </c>
      <c r="H8" s="45">
        <f t="shared" ref="H8" si="0">SUM(H9:H10)</f>
        <v>2142265.6</v>
      </c>
      <c r="I8" s="45">
        <f>H8/F8*100</f>
        <v>109.93</v>
      </c>
      <c r="J8" s="45">
        <f>H8/G8*100</f>
        <v>104.95</v>
      </c>
    </row>
    <row r="9" spans="1:10" x14ac:dyDescent="0.25">
      <c r="A9" s="232" t="s">
        <v>1</v>
      </c>
      <c r="B9" s="225"/>
      <c r="C9" s="225"/>
      <c r="D9" s="225"/>
      <c r="E9" s="238"/>
      <c r="F9" s="46">
        <f>'Prihodi- ekonom.klasif'!C6</f>
        <v>1948770.39</v>
      </c>
      <c r="G9" s="46">
        <f>'Prihodi- ekonom.klasif'!D6</f>
        <v>2041287.29</v>
      </c>
      <c r="H9" s="46">
        <f>'Prihodi- ekonom.klasif'!E6</f>
        <v>2142265.6</v>
      </c>
      <c r="I9" s="46">
        <f>H9/F9*100</f>
        <v>109.93</v>
      </c>
      <c r="J9" s="46">
        <f>H9/G9*100</f>
        <v>104.95</v>
      </c>
    </row>
    <row r="10" spans="1:10" x14ac:dyDescent="0.25">
      <c r="A10" s="242" t="s">
        <v>2</v>
      </c>
      <c r="B10" s="238"/>
      <c r="C10" s="238"/>
      <c r="D10" s="238"/>
      <c r="E10" s="238"/>
      <c r="F10" s="46">
        <f>C32</f>
        <v>0</v>
      </c>
      <c r="G10" s="46">
        <f t="shared" ref="G10:H10" si="1">D32</f>
        <v>0</v>
      </c>
      <c r="H10" s="46">
        <f t="shared" si="1"/>
        <v>0</v>
      </c>
      <c r="I10" s="46"/>
      <c r="J10" s="46"/>
    </row>
    <row r="11" spans="1:10" x14ac:dyDescent="0.25">
      <c r="A11" s="36" t="s">
        <v>3</v>
      </c>
      <c r="B11" s="37"/>
      <c r="C11" s="37"/>
      <c r="D11" s="37"/>
      <c r="E11" s="37"/>
      <c r="F11" s="45">
        <f>SUM(F12:F13)+0.02</f>
        <v>1946391.63</v>
      </c>
      <c r="G11" s="45">
        <f>G12</f>
        <v>2041287.29</v>
      </c>
      <c r="H11" s="45">
        <f t="shared" ref="H11" si="2">SUM(H12:H13)</f>
        <v>2286072.42</v>
      </c>
      <c r="I11" s="45">
        <f t="shared" ref="I9:I14" si="3">H11/F11*100</f>
        <v>117.45</v>
      </c>
      <c r="J11" s="45">
        <f t="shared" ref="J9:J14" si="4">H11/G11*100</f>
        <v>111.99</v>
      </c>
    </row>
    <row r="12" spans="1:10" x14ac:dyDescent="0.25">
      <c r="A12" s="224" t="s">
        <v>4</v>
      </c>
      <c r="B12" s="225"/>
      <c r="C12" s="225"/>
      <c r="D12" s="225"/>
      <c r="E12" s="225"/>
      <c r="F12" s="46">
        <f>'Rashodi-ekonom.klasifik'!C6</f>
        <v>1835675.98</v>
      </c>
      <c r="G12" s="46">
        <f>'prih.rash.-izvori financiranja'!D42</f>
        <v>2041287.29</v>
      </c>
      <c r="H12" s="46">
        <f>'Rashodi-ekonom.klasifik'!E6</f>
        <v>2268508.04</v>
      </c>
      <c r="I12" s="46">
        <f t="shared" si="3"/>
        <v>123.58</v>
      </c>
      <c r="J12" s="46">
        <f t="shared" si="4"/>
        <v>111.13</v>
      </c>
    </row>
    <row r="13" spans="1:10" x14ac:dyDescent="0.25">
      <c r="A13" s="237" t="s">
        <v>5</v>
      </c>
      <c r="B13" s="238"/>
      <c r="C13" s="238"/>
      <c r="D13" s="238"/>
      <c r="E13" s="238"/>
      <c r="F13" s="47">
        <f>'Rashodi-ekonom.klasifik'!C57</f>
        <v>110715.63</v>
      </c>
      <c r="G13" s="47">
        <f>'Rashodi-ekonom.klasifik'!D57</f>
        <v>10877.84</v>
      </c>
      <c r="H13" s="47">
        <f>'Rashodi-ekonom.klasifik'!E57</f>
        <v>17564.38</v>
      </c>
      <c r="I13" s="47">
        <f t="shared" si="3"/>
        <v>15.86</v>
      </c>
      <c r="J13" s="47">
        <f t="shared" si="4"/>
        <v>161.47</v>
      </c>
    </row>
    <row r="14" spans="1:10" x14ac:dyDescent="0.25">
      <c r="A14" s="235" t="s">
        <v>6</v>
      </c>
      <c r="B14" s="236"/>
      <c r="C14" s="236"/>
      <c r="D14" s="236"/>
      <c r="E14" s="236"/>
      <c r="F14" s="48">
        <f>F8-F11</f>
        <v>2378.7800000000002</v>
      </c>
      <c r="G14" s="48">
        <f>G8-G11</f>
        <v>0</v>
      </c>
      <c r="H14" s="48">
        <f t="shared" ref="H14" si="5">H8-H11</f>
        <v>-143806.82</v>
      </c>
      <c r="I14" s="48"/>
      <c r="J14" s="48"/>
    </row>
    <row r="15" spans="1:10" ht="18" x14ac:dyDescent="0.25">
      <c r="A15" s="5"/>
      <c r="B15" s="9"/>
      <c r="C15" s="9"/>
      <c r="D15" s="9"/>
      <c r="E15" s="9"/>
      <c r="F15" s="9"/>
      <c r="G15" s="3"/>
      <c r="H15" s="3"/>
      <c r="I15" s="3"/>
      <c r="J15" s="26"/>
    </row>
    <row r="16" spans="1:10" ht="18" customHeight="1" x14ac:dyDescent="0.25">
      <c r="A16" s="222" t="s">
        <v>38</v>
      </c>
      <c r="B16" s="223"/>
      <c r="C16" s="223"/>
      <c r="D16" s="223"/>
      <c r="E16" s="223"/>
      <c r="F16" s="223"/>
      <c r="G16" s="223"/>
      <c r="H16" s="223"/>
      <c r="I16" s="223"/>
      <c r="J16" s="130"/>
    </row>
    <row r="17" spans="1:10" ht="18" x14ac:dyDescent="0.25">
      <c r="A17" s="27"/>
      <c r="B17" s="25"/>
      <c r="C17" s="25"/>
      <c r="D17" s="25"/>
      <c r="E17" s="25"/>
      <c r="F17" s="25"/>
      <c r="G17" s="26"/>
      <c r="H17" s="26"/>
      <c r="I17" s="26"/>
      <c r="J17" s="26"/>
    </row>
    <row r="18" spans="1:10" x14ac:dyDescent="0.25">
      <c r="A18" s="29"/>
      <c r="B18" s="30"/>
      <c r="C18" s="30"/>
      <c r="D18" s="31"/>
      <c r="E18" s="32"/>
      <c r="F18" s="4" t="s">
        <v>437</v>
      </c>
      <c r="G18" s="4" t="s">
        <v>406</v>
      </c>
      <c r="H18" s="4" t="s">
        <v>438</v>
      </c>
      <c r="I18" s="143" t="s">
        <v>243</v>
      </c>
      <c r="J18" s="143" t="s">
        <v>243</v>
      </c>
    </row>
    <row r="19" spans="1:10" ht="15.75" customHeight="1" x14ac:dyDescent="0.25">
      <c r="A19" s="232" t="s">
        <v>8</v>
      </c>
      <c r="B19" s="233"/>
      <c r="C19" s="233"/>
      <c r="D19" s="233"/>
      <c r="E19" s="234"/>
      <c r="F19" s="34">
        <f>'Račun financiranja'!F9</f>
        <v>0</v>
      </c>
      <c r="G19" s="34">
        <f>'Račun financiranja'!G9</f>
        <v>0</v>
      </c>
      <c r="H19" s="34">
        <f>'Račun financiranja'!H9</f>
        <v>0</v>
      </c>
      <c r="I19" s="34">
        <f>'Račun financiranja'!I9</f>
        <v>0</v>
      </c>
      <c r="J19" s="34">
        <f>'Račun financiranja'!J9</f>
        <v>0</v>
      </c>
    </row>
    <row r="20" spans="1:10" x14ac:dyDescent="0.25">
      <c r="A20" s="232" t="s">
        <v>9</v>
      </c>
      <c r="B20" s="225"/>
      <c r="C20" s="225"/>
      <c r="D20" s="225"/>
      <c r="E20" s="225"/>
      <c r="F20" s="34">
        <f>'Račun financiranja'!F12</f>
        <v>0</v>
      </c>
      <c r="G20" s="34">
        <f>'Račun financiranja'!G12</f>
        <v>0</v>
      </c>
      <c r="H20" s="34">
        <f>'Račun financiranja'!H12</f>
        <v>0</v>
      </c>
      <c r="I20" s="34">
        <f>'Račun financiranja'!I12</f>
        <v>0</v>
      </c>
      <c r="J20" s="34">
        <f>'Račun financiranja'!J12</f>
        <v>0</v>
      </c>
    </row>
    <row r="21" spans="1:10" x14ac:dyDescent="0.25">
      <c r="A21" s="235" t="s">
        <v>10</v>
      </c>
      <c r="B21" s="236"/>
      <c r="C21" s="236"/>
      <c r="D21" s="236"/>
      <c r="E21" s="236"/>
      <c r="F21" s="33">
        <v>0</v>
      </c>
      <c r="G21" s="33">
        <v>0</v>
      </c>
      <c r="H21" s="33">
        <v>0</v>
      </c>
      <c r="I21" s="33">
        <v>0</v>
      </c>
      <c r="J21" s="33">
        <v>0</v>
      </c>
    </row>
    <row r="22" spans="1:10" ht="18" x14ac:dyDescent="0.25">
      <c r="A22" s="24"/>
      <c r="B22" s="25"/>
      <c r="C22" s="25"/>
      <c r="D22" s="25"/>
      <c r="E22" s="25"/>
      <c r="F22" s="25"/>
      <c r="G22" s="26"/>
      <c r="H22" s="26"/>
      <c r="I22" s="26"/>
      <c r="J22" s="26"/>
    </row>
    <row r="23" spans="1:10" ht="18" customHeight="1" x14ac:dyDescent="0.25">
      <c r="A23" s="222" t="s">
        <v>42</v>
      </c>
      <c r="B23" s="223"/>
      <c r="C23" s="223"/>
      <c r="D23" s="223"/>
      <c r="E23" s="223"/>
      <c r="F23" s="223"/>
      <c r="G23" s="223"/>
      <c r="H23" s="223"/>
      <c r="I23" s="223"/>
      <c r="J23" s="130"/>
    </row>
    <row r="24" spans="1:10" ht="18" x14ac:dyDescent="0.25">
      <c r="A24" s="24"/>
      <c r="B24" s="25"/>
      <c r="C24" s="25"/>
      <c r="D24" s="25"/>
      <c r="E24" s="25"/>
      <c r="F24" s="25"/>
      <c r="G24" s="26"/>
      <c r="H24" s="26"/>
      <c r="I24" s="26"/>
      <c r="J24" s="26"/>
    </row>
    <row r="25" spans="1:10" x14ac:dyDescent="0.25">
      <c r="A25" s="29"/>
      <c r="B25" s="30"/>
      <c r="C25" s="30"/>
      <c r="D25" s="31"/>
      <c r="E25" s="32"/>
      <c r="F25" s="4" t="s">
        <v>437</v>
      </c>
      <c r="G25" s="4" t="s">
        <v>406</v>
      </c>
      <c r="H25" s="4" t="s">
        <v>438</v>
      </c>
      <c r="I25" s="143" t="s">
        <v>243</v>
      </c>
      <c r="J25" s="143" t="s">
        <v>243</v>
      </c>
    </row>
    <row r="26" spans="1:10" x14ac:dyDescent="0.25">
      <c r="A26" s="226" t="s">
        <v>39</v>
      </c>
      <c r="B26" s="227"/>
      <c r="C26" s="227"/>
      <c r="D26" s="227"/>
      <c r="E26" s="228"/>
      <c r="F26" s="49"/>
      <c r="G26" s="49">
        <v>19632.990000000002</v>
      </c>
      <c r="H26" s="49">
        <v>19632.990000000002</v>
      </c>
      <c r="I26" s="50">
        <v>0</v>
      </c>
      <c r="J26" s="50">
        <v>0</v>
      </c>
    </row>
    <row r="27" spans="1:10" ht="30" customHeight="1" x14ac:dyDescent="0.25">
      <c r="A27" s="229" t="s">
        <v>7</v>
      </c>
      <c r="B27" s="230"/>
      <c r="C27" s="230"/>
      <c r="D27" s="230"/>
      <c r="E27" s="231"/>
      <c r="F27" s="51"/>
      <c r="G27" s="51">
        <v>0</v>
      </c>
      <c r="H27" s="51">
        <v>0</v>
      </c>
      <c r="I27" s="48">
        <v>0</v>
      </c>
      <c r="J27" s="48">
        <v>0</v>
      </c>
    </row>
    <row r="30" spans="1:10" x14ac:dyDescent="0.25">
      <c r="A30" s="224" t="s">
        <v>11</v>
      </c>
      <c r="B30" s="225"/>
      <c r="C30" s="225"/>
      <c r="D30" s="225"/>
      <c r="E30" s="225"/>
      <c r="F30" s="34">
        <v>0</v>
      </c>
      <c r="G30" s="34">
        <v>0</v>
      </c>
      <c r="H30" s="47">
        <f>H14+H26</f>
        <v>-124173.83</v>
      </c>
      <c r="I30" s="34">
        <v>0</v>
      </c>
      <c r="J30" s="34">
        <v>0</v>
      </c>
    </row>
    <row r="31" spans="1:10" ht="11.25" customHeight="1" x14ac:dyDescent="0.25">
      <c r="A31" s="19"/>
      <c r="B31" s="20"/>
      <c r="C31" s="20"/>
      <c r="D31" s="20"/>
      <c r="E31" s="20"/>
      <c r="F31" s="21"/>
      <c r="G31" s="21"/>
      <c r="H31" s="21"/>
      <c r="I31" s="21"/>
      <c r="J31" s="21"/>
    </row>
    <row r="32" spans="1:10" ht="29.25" customHeight="1" x14ac:dyDescent="0.25">
      <c r="A32" s="220"/>
      <c r="B32" s="221"/>
      <c r="C32" s="221"/>
      <c r="D32" s="221"/>
      <c r="E32" s="221"/>
      <c r="F32" s="221"/>
      <c r="G32" s="221"/>
      <c r="H32" s="221"/>
      <c r="I32" s="221"/>
      <c r="J32" s="128"/>
    </row>
    <row r="33" spans="1:10" ht="8.25" customHeight="1" x14ac:dyDescent="0.25"/>
    <row r="34" spans="1:10" x14ac:dyDescent="0.25">
      <c r="A34" s="220"/>
      <c r="B34" s="221"/>
      <c r="C34" s="221"/>
      <c r="D34" s="221"/>
      <c r="E34" s="221"/>
      <c r="F34" s="221"/>
      <c r="G34" s="221"/>
      <c r="H34" s="221"/>
      <c r="I34" s="221"/>
      <c r="J34" s="128"/>
    </row>
    <row r="35" spans="1:10" ht="8.25" customHeight="1" x14ac:dyDescent="0.25"/>
    <row r="36" spans="1:10" ht="29.25" customHeight="1" x14ac:dyDescent="0.25">
      <c r="A36" s="220"/>
      <c r="B36" s="221"/>
      <c r="C36" s="221"/>
      <c r="D36" s="221"/>
      <c r="E36" s="221"/>
      <c r="F36" s="221"/>
      <c r="G36" s="221"/>
      <c r="H36" s="221"/>
      <c r="I36" s="221"/>
      <c r="J36" s="128"/>
    </row>
    <row r="38" spans="1:10" x14ac:dyDescent="0.25">
      <c r="A38" t="s">
        <v>217</v>
      </c>
      <c r="E38" t="s">
        <v>218</v>
      </c>
      <c r="G38" t="s">
        <v>219</v>
      </c>
    </row>
    <row r="39" spans="1:10" x14ac:dyDescent="0.25">
      <c r="A39" t="s">
        <v>432</v>
      </c>
      <c r="E39" t="s">
        <v>221</v>
      </c>
      <c r="G39" t="s">
        <v>222</v>
      </c>
    </row>
    <row r="40" spans="1:10" x14ac:dyDescent="0.25">
      <c r="A40" t="s">
        <v>431</v>
      </c>
    </row>
  </sheetData>
  <mergeCells count="20">
    <mergeCell ref="A12:E12"/>
    <mergeCell ref="A5:I5"/>
    <mergeCell ref="A16:I16"/>
    <mergeCell ref="A1:I1"/>
    <mergeCell ref="A3:I3"/>
    <mergeCell ref="A8:E8"/>
    <mergeCell ref="A9:E9"/>
    <mergeCell ref="A10:E10"/>
    <mergeCell ref="A19:E19"/>
    <mergeCell ref="A20:E20"/>
    <mergeCell ref="A21:E21"/>
    <mergeCell ref="A13:E13"/>
    <mergeCell ref="A14:E14"/>
    <mergeCell ref="A36:I36"/>
    <mergeCell ref="A23:I23"/>
    <mergeCell ref="A32:I32"/>
    <mergeCell ref="A30:E30"/>
    <mergeCell ref="A34:I34"/>
    <mergeCell ref="A26:E26"/>
    <mergeCell ref="A27:E2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view="pageBreakPreview" zoomScaleNormal="100" zoomScaleSheetLayoutView="100" workbookViewId="0">
      <selection activeCell="E9" sqref="E9"/>
    </sheetView>
  </sheetViews>
  <sheetFormatPr defaultRowHeight="15" x14ac:dyDescent="0.25"/>
  <cols>
    <col min="1" max="1" width="9.140625" style="146"/>
    <col min="2" max="2" width="57.140625" style="165" customWidth="1"/>
    <col min="3" max="3" width="16.85546875" style="166" customWidth="1"/>
    <col min="4" max="4" width="14.42578125" style="165" customWidth="1"/>
    <col min="5" max="5" width="16.85546875" style="166" customWidth="1"/>
    <col min="6" max="6" width="11.42578125" style="165" customWidth="1"/>
    <col min="7" max="7" width="11.85546875" style="165" customWidth="1"/>
  </cols>
  <sheetData>
    <row r="1" spans="1:11" x14ac:dyDescent="0.25">
      <c r="A1" s="243" t="s">
        <v>241</v>
      </c>
      <c r="B1" s="243"/>
      <c r="C1" s="243"/>
      <c r="D1" s="243"/>
      <c r="E1" s="243"/>
      <c r="F1" s="243"/>
      <c r="G1" s="243"/>
    </row>
    <row r="2" spans="1:11" x14ac:dyDescent="0.25">
      <c r="A2" s="243" t="s">
        <v>444</v>
      </c>
      <c r="B2" s="243"/>
      <c r="C2" s="243"/>
      <c r="D2" s="243"/>
      <c r="E2" s="243"/>
      <c r="F2" s="243"/>
      <c r="G2" s="243"/>
    </row>
    <row r="3" spans="1:11" ht="26.25" x14ac:dyDescent="0.25">
      <c r="A3" s="140" t="s">
        <v>242</v>
      </c>
      <c r="B3" s="141" t="s">
        <v>18</v>
      </c>
      <c r="C3" s="143" t="s">
        <v>436</v>
      </c>
      <c r="D3" s="142" t="s">
        <v>405</v>
      </c>
      <c r="E3" s="143" t="s">
        <v>435</v>
      </c>
      <c r="F3" s="143" t="s">
        <v>243</v>
      </c>
      <c r="G3" s="143" t="s">
        <v>244</v>
      </c>
    </row>
    <row r="4" spans="1:11" x14ac:dyDescent="0.25">
      <c r="A4" s="144">
        <v>1</v>
      </c>
      <c r="B4" s="145">
        <v>2</v>
      </c>
      <c r="C4" s="145">
        <v>5</v>
      </c>
      <c r="D4" s="145">
        <v>4</v>
      </c>
      <c r="E4" s="145">
        <v>5</v>
      </c>
      <c r="F4" s="145">
        <v>6</v>
      </c>
      <c r="G4" s="145">
        <v>7</v>
      </c>
      <c r="H4" s="146"/>
    </row>
    <row r="5" spans="1:11" x14ac:dyDescent="0.25">
      <c r="A5" s="147"/>
      <c r="B5" s="148" t="s">
        <v>245</v>
      </c>
      <c r="C5" s="149">
        <f t="shared" ref="C5" si="0">C6+C31</f>
        <v>1948770.39</v>
      </c>
      <c r="D5" s="149">
        <f>D6+D31</f>
        <v>2041287.29</v>
      </c>
      <c r="E5" s="149">
        <f>E6+E31</f>
        <v>2142265.6</v>
      </c>
      <c r="F5" s="150">
        <f>E5/C5*100</f>
        <v>109.93</v>
      </c>
      <c r="G5" s="150">
        <f>E5/D5*100</f>
        <v>104.95</v>
      </c>
      <c r="H5" s="146"/>
    </row>
    <row r="6" spans="1:11" s="155" customFormat="1" x14ac:dyDescent="0.25">
      <c r="A6" s="151" t="s">
        <v>246</v>
      </c>
      <c r="B6" s="152" t="s">
        <v>1</v>
      </c>
      <c r="C6" s="153">
        <f>C7+C12+C17+C20+C27</f>
        <v>1948770.39</v>
      </c>
      <c r="D6" s="153">
        <f>D8+D13+D18+D21+D24+D28</f>
        <v>2041287.29</v>
      </c>
      <c r="E6" s="153">
        <f>E7+E12+E17+E20+E27</f>
        <v>2142265.6</v>
      </c>
      <c r="F6" s="154"/>
      <c r="G6" s="154">
        <f t="shared" ref="G6:G8" si="1">E6/D6*100</f>
        <v>104.95</v>
      </c>
    </row>
    <row r="7" spans="1:11" s="155" customFormat="1" x14ac:dyDescent="0.25">
      <c r="A7" s="156" t="s">
        <v>247</v>
      </c>
      <c r="B7" s="157" t="s">
        <v>248</v>
      </c>
      <c r="C7" s="158">
        <f t="shared" ref="C7:E7" si="2">C8</f>
        <v>1678086.72</v>
      </c>
      <c r="D7" s="158">
        <v>1188824.1499999999</v>
      </c>
      <c r="E7" s="158">
        <f t="shared" si="2"/>
        <v>1895972.16</v>
      </c>
      <c r="F7" s="159">
        <f t="shared" ref="F7:F29" si="3">E7/C7*100</f>
        <v>112.98</v>
      </c>
      <c r="G7" s="159">
        <f t="shared" si="1"/>
        <v>159.47999999999999</v>
      </c>
    </row>
    <row r="8" spans="1:11" s="155" customFormat="1" x14ac:dyDescent="0.25">
      <c r="A8" s="160" t="s">
        <v>249</v>
      </c>
      <c r="B8" s="161" t="s">
        <v>250</v>
      </c>
      <c r="C8" s="162">
        <f>SUM(C9:C11)</f>
        <v>1678086.72</v>
      </c>
      <c r="D8" s="162">
        <f>SUM(D9:D11)</f>
        <v>1834851.33</v>
      </c>
      <c r="E8" s="162">
        <f>SUM(E9:E11)</f>
        <v>1895972.16</v>
      </c>
      <c r="F8" s="162">
        <f t="shared" si="3"/>
        <v>112.98</v>
      </c>
      <c r="G8" s="163">
        <f t="shared" si="1"/>
        <v>103.33</v>
      </c>
      <c r="I8" s="176"/>
    </row>
    <row r="9" spans="1:11" x14ac:dyDescent="0.25">
      <c r="A9" s="164" t="s">
        <v>251</v>
      </c>
      <c r="B9" s="165" t="s">
        <v>252</v>
      </c>
      <c r="C9" s="166">
        <v>1676249.14</v>
      </c>
      <c r="D9" s="166">
        <v>1834851.33</v>
      </c>
      <c r="E9" s="166">
        <f>1895972.16-724.3</f>
        <v>1895247.86</v>
      </c>
      <c r="F9" s="167">
        <f t="shared" si="3"/>
        <v>113.06</v>
      </c>
      <c r="G9" s="168" t="s">
        <v>253</v>
      </c>
      <c r="K9" s="40"/>
    </row>
    <row r="10" spans="1:11" x14ac:dyDescent="0.25">
      <c r="A10" s="164" t="s">
        <v>254</v>
      </c>
      <c r="B10" s="165" t="s">
        <v>255</v>
      </c>
      <c r="C10" s="166">
        <v>1581.94</v>
      </c>
      <c r="D10" s="166">
        <v>0</v>
      </c>
      <c r="E10" s="166">
        <v>0</v>
      </c>
      <c r="F10" s="197" t="s">
        <v>253</v>
      </c>
      <c r="G10" s="168" t="s">
        <v>253</v>
      </c>
    </row>
    <row r="11" spans="1:11" x14ac:dyDescent="0.25">
      <c r="A11" s="164">
        <v>6391</v>
      </c>
      <c r="B11" s="165" t="s">
        <v>381</v>
      </c>
      <c r="C11" s="166">
        <v>255.64</v>
      </c>
      <c r="D11" s="165">
        <v>0</v>
      </c>
      <c r="E11" s="166">
        <v>724.3</v>
      </c>
      <c r="F11" s="197" t="s">
        <v>253</v>
      </c>
      <c r="G11" s="168" t="s">
        <v>253</v>
      </c>
    </row>
    <row r="12" spans="1:11" s="155" customFormat="1" x14ac:dyDescent="0.25">
      <c r="A12" s="169" t="s">
        <v>256</v>
      </c>
      <c r="B12" s="157" t="s">
        <v>257</v>
      </c>
      <c r="C12" s="158">
        <f>C13+C15</f>
        <v>2509.34</v>
      </c>
      <c r="D12" s="158">
        <f t="shared" ref="C12:E15" si="4">D13</f>
        <v>1</v>
      </c>
      <c r="E12" s="158">
        <f>+E15+E13</f>
        <v>8.31</v>
      </c>
      <c r="F12" s="159">
        <f t="shared" si="3"/>
        <v>0.33</v>
      </c>
      <c r="G12" s="170"/>
    </row>
    <row r="13" spans="1:11" s="155" customFormat="1" x14ac:dyDescent="0.25">
      <c r="A13" s="171" t="s">
        <v>258</v>
      </c>
      <c r="B13" s="161" t="s">
        <v>259</v>
      </c>
      <c r="C13" s="162">
        <f t="shared" si="4"/>
        <v>15.34</v>
      </c>
      <c r="D13" s="162">
        <f t="shared" si="4"/>
        <v>1</v>
      </c>
      <c r="E13" s="162">
        <f t="shared" si="4"/>
        <v>8.31</v>
      </c>
      <c r="F13" s="163">
        <f t="shared" si="3"/>
        <v>54.17</v>
      </c>
      <c r="G13" s="172"/>
    </row>
    <row r="14" spans="1:11" x14ac:dyDescent="0.25">
      <c r="A14" s="164" t="s">
        <v>260</v>
      </c>
      <c r="B14" s="165" t="s">
        <v>261</v>
      </c>
      <c r="C14" s="166">
        <v>15.34</v>
      </c>
      <c r="D14" s="166">
        <v>1</v>
      </c>
      <c r="E14" s="166">
        <v>8.31</v>
      </c>
      <c r="F14" s="167">
        <f t="shared" si="3"/>
        <v>54.17</v>
      </c>
      <c r="G14" s="168" t="s">
        <v>253</v>
      </c>
    </row>
    <row r="15" spans="1:11" s="155" customFormat="1" x14ac:dyDescent="0.25">
      <c r="A15" s="171">
        <v>642</v>
      </c>
      <c r="B15" s="161" t="s">
        <v>385</v>
      </c>
      <c r="C15" s="162">
        <f t="shared" si="4"/>
        <v>2494</v>
      </c>
      <c r="D15" s="162">
        <f t="shared" si="4"/>
        <v>0</v>
      </c>
      <c r="E15" s="162">
        <f t="shared" si="4"/>
        <v>0</v>
      </c>
      <c r="F15" s="163" t="s">
        <v>253</v>
      </c>
      <c r="G15" s="172"/>
    </row>
    <row r="16" spans="1:11" x14ac:dyDescent="0.25">
      <c r="A16" s="164">
        <v>6423</v>
      </c>
      <c r="B16" s="165" t="s">
        <v>386</v>
      </c>
      <c r="C16" s="166">
        <v>2494</v>
      </c>
      <c r="D16" s="166">
        <v>0</v>
      </c>
      <c r="E16" s="166">
        <v>0</v>
      </c>
      <c r="F16" s="167" t="s">
        <v>253</v>
      </c>
      <c r="G16" s="168" t="s">
        <v>253</v>
      </c>
    </row>
    <row r="17" spans="1:7" s="155" customFormat="1" x14ac:dyDescent="0.25">
      <c r="A17" s="169" t="s">
        <v>262</v>
      </c>
      <c r="B17" s="157" t="s">
        <v>263</v>
      </c>
      <c r="C17" s="158">
        <f t="shared" ref="C17:E18" si="5">C18</f>
        <v>23453.64</v>
      </c>
      <c r="D17" s="158">
        <f t="shared" si="5"/>
        <v>46610</v>
      </c>
      <c r="E17" s="158">
        <f t="shared" si="5"/>
        <v>30315.200000000001</v>
      </c>
      <c r="F17" s="159">
        <f t="shared" si="3"/>
        <v>129.26</v>
      </c>
      <c r="G17" s="170">
        <f t="shared" ref="G17:G18" si="6">E17/D17*100</f>
        <v>65.040000000000006</v>
      </c>
    </row>
    <row r="18" spans="1:7" s="155" customFormat="1" x14ac:dyDescent="0.25">
      <c r="A18" s="171" t="s">
        <v>264</v>
      </c>
      <c r="B18" s="161" t="s">
        <v>265</v>
      </c>
      <c r="C18" s="162">
        <f t="shared" si="5"/>
        <v>23453.64</v>
      </c>
      <c r="D18" s="162">
        <f>D19</f>
        <v>46610</v>
      </c>
      <c r="E18" s="162">
        <f t="shared" si="5"/>
        <v>30315.200000000001</v>
      </c>
      <c r="F18" s="163">
        <f t="shared" si="3"/>
        <v>129.26</v>
      </c>
      <c r="G18" s="172">
        <f t="shared" si="6"/>
        <v>65.040000000000006</v>
      </c>
    </row>
    <row r="19" spans="1:7" x14ac:dyDescent="0.25">
      <c r="A19" s="164" t="s">
        <v>266</v>
      </c>
      <c r="B19" s="165" t="s">
        <v>267</v>
      </c>
      <c r="C19" s="166">
        <v>23453.64</v>
      </c>
      <c r="D19" s="166">
        <v>46610</v>
      </c>
      <c r="E19" s="166">
        <v>30315.200000000001</v>
      </c>
      <c r="F19" s="167">
        <f t="shared" si="3"/>
        <v>129.26</v>
      </c>
      <c r="G19" s="168" t="s">
        <v>253</v>
      </c>
    </row>
    <row r="20" spans="1:7" s="155" customFormat="1" x14ac:dyDescent="0.25">
      <c r="A20" s="169" t="s">
        <v>268</v>
      </c>
      <c r="B20" s="157" t="s">
        <v>269</v>
      </c>
      <c r="C20" s="158">
        <f t="shared" ref="C20:E20" si="7">C21+C24</f>
        <v>5949.21</v>
      </c>
      <c r="D20" s="158">
        <f>D21+D24</f>
        <v>6710.26</v>
      </c>
      <c r="E20" s="158">
        <f t="shared" si="7"/>
        <v>415.86</v>
      </c>
      <c r="F20" s="159">
        <f t="shared" si="3"/>
        <v>6.99</v>
      </c>
      <c r="G20" s="170">
        <f t="shared" ref="G20:G21" si="8">E20/D20*100</f>
        <v>6.2</v>
      </c>
    </row>
    <row r="21" spans="1:7" s="155" customFormat="1" x14ac:dyDescent="0.25">
      <c r="A21" s="171" t="s">
        <v>270</v>
      </c>
      <c r="B21" s="161" t="s">
        <v>271</v>
      </c>
      <c r="C21" s="162">
        <f t="shared" ref="C21:E21" si="9">SUM(C22:C23)</f>
        <v>0</v>
      </c>
      <c r="D21" s="162">
        <f>SUM(D22:D23)</f>
        <v>5210.26</v>
      </c>
      <c r="E21" s="162">
        <f t="shared" si="9"/>
        <v>0</v>
      </c>
      <c r="F21" s="163" t="e">
        <f t="shared" si="3"/>
        <v>#DIV/0!</v>
      </c>
      <c r="G21" s="172">
        <f t="shared" si="8"/>
        <v>0</v>
      </c>
    </row>
    <row r="22" spans="1:7" x14ac:dyDescent="0.25">
      <c r="A22" s="164">
        <v>6614</v>
      </c>
      <c r="B22" s="165" t="s">
        <v>272</v>
      </c>
      <c r="C22" s="166">
        <v>0</v>
      </c>
      <c r="D22" s="166">
        <v>0</v>
      </c>
      <c r="E22" s="166">
        <v>0</v>
      </c>
      <c r="F22" s="167"/>
      <c r="G22" s="168" t="s">
        <v>253</v>
      </c>
    </row>
    <row r="23" spans="1:7" x14ac:dyDescent="0.25">
      <c r="A23" s="164" t="s">
        <v>273</v>
      </c>
      <c r="B23" s="165" t="s">
        <v>274</v>
      </c>
      <c r="C23" s="166">
        <v>0</v>
      </c>
      <c r="D23" s="166">
        <v>5210.26</v>
      </c>
      <c r="E23" s="166">
        <v>0</v>
      </c>
      <c r="F23" s="167" t="e">
        <f t="shared" si="3"/>
        <v>#DIV/0!</v>
      </c>
      <c r="G23" s="168" t="s">
        <v>253</v>
      </c>
    </row>
    <row r="24" spans="1:7" s="155" customFormat="1" x14ac:dyDescent="0.25">
      <c r="A24" s="171" t="s">
        <v>275</v>
      </c>
      <c r="B24" s="161" t="s">
        <v>276</v>
      </c>
      <c r="C24" s="162">
        <f t="shared" ref="C24:D24" si="10">SUM(C25:C26)</f>
        <v>5949.21</v>
      </c>
      <c r="D24" s="162">
        <f t="shared" si="10"/>
        <v>1500</v>
      </c>
      <c r="E24" s="162">
        <f>SUM(E25:E26)</f>
        <v>415.86</v>
      </c>
      <c r="F24" s="163">
        <f t="shared" si="3"/>
        <v>6.99</v>
      </c>
      <c r="G24" s="172">
        <f t="shared" ref="G24" si="11">E24/D24*100</f>
        <v>27.72</v>
      </c>
    </row>
    <row r="25" spans="1:7" x14ac:dyDescent="0.25">
      <c r="A25" s="164" t="s">
        <v>277</v>
      </c>
      <c r="B25" s="165" t="s">
        <v>278</v>
      </c>
      <c r="C25" s="166">
        <v>1246.6500000000001</v>
      </c>
      <c r="D25" s="166">
        <v>1500</v>
      </c>
      <c r="E25" s="166">
        <v>415.86</v>
      </c>
      <c r="F25" s="167">
        <f t="shared" si="3"/>
        <v>33.36</v>
      </c>
      <c r="G25" s="168" t="s">
        <v>253</v>
      </c>
    </row>
    <row r="26" spans="1:7" x14ac:dyDescent="0.25">
      <c r="A26" s="164">
        <v>6632</v>
      </c>
      <c r="B26" s="165" t="s">
        <v>382</v>
      </c>
      <c r="C26" s="166">
        <v>4702.5600000000004</v>
      </c>
      <c r="D26" s="166">
        <v>0</v>
      </c>
      <c r="E26" s="166">
        <v>0</v>
      </c>
      <c r="F26" s="197" t="s">
        <v>253</v>
      </c>
      <c r="G26" s="168" t="s">
        <v>253</v>
      </c>
    </row>
    <row r="27" spans="1:7" s="155" customFormat="1" x14ac:dyDescent="0.25">
      <c r="A27" s="169" t="s">
        <v>279</v>
      </c>
      <c r="B27" s="157" t="s">
        <v>280</v>
      </c>
      <c r="C27" s="158">
        <f t="shared" ref="C27:E27" si="12">C28</f>
        <v>238771.48</v>
      </c>
      <c r="D27" s="158">
        <f t="shared" si="12"/>
        <v>153114.70000000001</v>
      </c>
      <c r="E27" s="158">
        <f t="shared" si="12"/>
        <v>215554.07</v>
      </c>
      <c r="F27" s="159">
        <f t="shared" si="3"/>
        <v>90.28</v>
      </c>
      <c r="G27" s="170">
        <f t="shared" ref="G27:G28" si="13">E27/D27*100</f>
        <v>140.78</v>
      </c>
    </row>
    <row r="28" spans="1:7" s="155" customFormat="1" x14ac:dyDescent="0.25">
      <c r="A28" s="171" t="s">
        <v>281</v>
      </c>
      <c r="B28" s="161" t="s">
        <v>282</v>
      </c>
      <c r="C28" s="162">
        <f t="shared" ref="C28:E28" si="14">SUM(C29:C30)</f>
        <v>238771.48</v>
      </c>
      <c r="D28" s="162">
        <f>SUM(D29:D30)</f>
        <v>153114.70000000001</v>
      </c>
      <c r="E28" s="162">
        <f t="shared" si="14"/>
        <v>215554.07</v>
      </c>
      <c r="F28" s="163">
        <f t="shared" si="3"/>
        <v>90.28</v>
      </c>
      <c r="G28" s="172">
        <f t="shared" si="13"/>
        <v>140.78</v>
      </c>
    </row>
    <row r="29" spans="1:7" x14ac:dyDescent="0.25">
      <c r="A29" s="164" t="s">
        <v>283</v>
      </c>
      <c r="B29" s="165" t="s">
        <v>284</v>
      </c>
      <c r="C29" s="166">
        <v>137873.41</v>
      </c>
      <c r="D29" s="166">
        <f>87353.86+61843</f>
        <v>149196.85999999999</v>
      </c>
      <c r="E29" s="166">
        <f>149982.91+61653.32</f>
        <v>211636.23</v>
      </c>
      <c r="F29" s="167">
        <f t="shared" si="3"/>
        <v>153.5</v>
      </c>
      <c r="G29" s="168" t="s">
        <v>253</v>
      </c>
    </row>
    <row r="30" spans="1:7" x14ac:dyDescent="0.25">
      <c r="A30" s="164" t="s">
        <v>285</v>
      </c>
      <c r="B30" s="165" t="s">
        <v>286</v>
      </c>
      <c r="C30" s="166">
        <v>100898.07</v>
      </c>
      <c r="D30" s="165">
        <v>3917.84</v>
      </c>
      <c r="E30" s="166">
        <v>3917.84</v>
      </c>
      <c r="F30" s="197" t="s">
        <v>253</v>
      </c>
      <c r="G30" s="168" t="s">
        <v>253</v>
      </c>
    </row>
    <row r="31" spans="1:7" s="155" customFormat="1" x14ac:dyDescent="0.25">
      <c r="A31" s="173">
        <v>7</v>
      </c>
      <c r="B31" s="152" t="s">
        <v>2</v>
      </c>
      <c r="C31" s="153">
        <f t="shared" ref="C31:E33" si="15">C32</f>
        <v>0</v>
      </c>
      <c r="D31" s="153">
        <f t="shared" si="15"/>
        <v>0</v>
      </c>
      <c r="E31" s="153">
        <f t="shared" si="15"/>
        <v>0</v>
      </c>
      <c r="F31" s="153"/>
      <c r="G31" s="159">
        <v>0</v>
      </c>
    </row>
    <row r="32" spans="1:7" s="155" customFormat="1" x14ac:dyDescent="0.25">
      <c r="A32" s="169">
        <v>72</v>
      </c>
      <c r="B32" s="157" t="s">
        <v>287</v>
      </c>
      <c r="C32" s="158">
        <f t="shared" si="15"/>
        <v>0</v>
      </c>
      <c r="D32" s="158">
        <f t="shared" si="15"/>
        <v>0</v>
      </c>
      <c r="E32" s="158">
        <f t="shared" si="15"/>
        <v>0</v>
      </c>
      <c r="F32" s="159"/>
      <c r="G32" s="159">
        <v>0</v>
      </c>
    </row>
    <row r="33" spans="1:7" s="155" customFormat="1" x14ac:dyDescent="0.25">
      <c r="A33" s="171">
        <v>721</v>
      </c>
      <c r="B33" s="161" t="s">
        <v>288</v>
      </c>
      <c r="C33" s="162">
        <f t="shared" si="15"/>
        <v>0</v>
      </c>
      <c r="D33" s="162">
        <f t="shared" si="15"/>
        <v>0</v>
      </c>
      <c r="E33" s="162">
        <f t="shared" si="15"/>
        <v>0</v>
      </c>
      <c r="F33" s="163"/>
      <c r="G33" s="163">
        <v>0</v>
      </c>
    </row>
    <row r="34" spans="1:7" x14ac:dyDescent="0.25">
      <c r="A34" s="164">
        <v>7211</v>
      </c>
      <c r="B34" s="165" t="s">
        <v>383</v>
      </c>
      <c r="C34" s="166">
        <v>0</v>
      </c>
      <c r="D34" s="165">
        <v>0</v>
      </c>
      <c r="E34" s="166">
        <v>0</v>
      </c>
      <c r="F34" s="167"/>
      <c r="G34" s="168" t="s">
        <v>253</v>
      </c>
    </row>
    <row r="35" spans="1:7" s="155" customFormat="1" x14ac:dyDescent="0.25">
      <c r="A35" s="171">
        <v>92221</v>
      </c>
      <c r="B35" s="161" t="s">
        <v>289</v>
      </c>
      <c r="C35" s="162">
        <v>0</v>
      </c>
      <c r="D35" s="162">
        <v>0</v>
      </c>
      <c r="E35" s="162">
        <v>0</v>
      </c>
      <c r="F35" s="163"/>
      <c r="G35" s="163"/>
    </row>
    <row r="36" spans="1:7" s="155" customFormat="1" x14ac:dyDescent="0.25">
      <c r="A36" s="171">
        <v>92211</v>
      </c>
      <c r="B36" s="161" t="s">
        <v>384</v>
      </c>
      <c r="C36" s="162">
        <v>0</v>
      </c>
      <c r="D36" s="162">
        <v>0</v>
      </c>
      <c r="E36" s="162">
        <v>0</v>
      </c>
      <c r="F36" s="163"/>
      <c r="G36" s="163"/>
    </row>
    <row r="38" spans="1:7" x14ac:dyDescent="0.25">
      <c r="A38" t="s">
        <v>217</v>
      </c>
      <c r="C38" t="s">
        <v>218</v>
      </c>
      <c r="D38" s="166"/>
      <c r="E38" t="s">
        <v>219</v>
      </c>
      <c r="F38" s="167"/>
    </row>
    <row r="39" spans="1:7" x14ac:dyDescent="0.25">
      <c r="A39" t="s">
        <v>432</v>
      </c>
      <c r="C39" t="s">
        <v>414</v>
      </c>
      <c r="D39" s="166"/>
      <c r="E39" t="s">
        <v>222</v>
      </c>
      <c r="F39" s="167"/>
    </row>
    <row r="40" spans="1:7" x14ac:dyDescent="0.25">
      <c r="A40" t="s">
        <v>431</v>
      </c>
    </row>
    <row r="43" spans="1:7" x14ac:dyDescent="0.25">
      <c r="D43" s="166"/>
    </row>
  </sheetData>
  <mergeCells count="2">
    <mergeCell ref="A1:G1"/>
    <mergeCell ref="A2:G2"/>
  </mergeCells>
  <pageMargins left="0.7" right="0.7" top="0.75" bottom="0.75" header="0.3" footer="0.3"/>
  <pageSetup paperSize="9" scale="82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view="pageBreakPreview" zoomScaleNormal="100" zoomScaleSheetLayoutView="100" workbookViewId="0">
      <selection activeCell="I2" sqref="I2:L7"/>
    </sheetView>
  </sheetViews>
  <sheetFormatPr defaultRowHeight="15" x14ac:dyDescent="0.25"/>
  <cols>
    <col min="2" max="2" width="47.42578125" style="165" customWidth="1"/>
    <col min="3" max="3" width="14.85546875" style="166" customWidth="1"/>
    <col min="4" max="4" width="14.140625" style="166" customWidth="1"/>
    <col min="5" max="5" width="14.85546875" style="166" customWidth="1"/>
    <col min="6" max="6" width="10.85546875" style="167" customWidth="1"/>
    <col min="7" max="7" width="10.28515625" style="165" customWidth="1"/>
    <col min="10" max="11" width="9.85546875" bestFit="1" customWidth="1"/>
  </cols>
  <sheetData>
    <row r="1" spans="1:11" x14ac:dyDescent="0.25">
      <c r="A1" s="243" t="s">
        <v>241</v>
      </c>
      <c r="B1" s="243"/>
      <c r="C1" s="243"/>
      <c r="D1" s="243"/>
      <c r="E1" s="243"/>
      <c r="F1" s="243"/>
      <c r="G1" s="243"/>
    </row>
    <row r="2" spans="1:11" x14ac:dyDescent="0.25">
      <c r="A2" s="243" t="s">
        <v>445</v>
      </c>
      <c r="B2" s="243"/>
      <c r="C2" s="243"/>
      <c r="D2" s="243"/>
      <c r="E2" s="243"/>
      <c r="F2" s="243"/>
      <c r="G2" s="243"/>
    </row>
    <row r="3" spans="1:11" ht="26.25" x14ac:dyDescent="0.25">
      <c r="A3" s="140" t="s">
        <v>242</v>
      </c>
      <c r="B3" s="141" t="s">
        <v>18</v>
      </c>
      <c r="C3" s="143" t="s">
        <v>436</v>
      </c>
      <c r="D3" s="142" t="s">
        <v>405</v>
      </c>
      <c r="E3" s="143" t="s">
        <v>435</v>
      </c>
      <c r="F3" s="174" t="s">
        <v>243</v>
      </c>
      <c r="G3" s="143" t="s">
        <v>244</v>
      </c>
    </row>
    <row r="4" spans="1:11" x14ac:dyDescent="0.25">
      <c r="A4" s="144">
        <v>1</v>
      </c>
      <c r="B4" s="145">
        <v>2</v>
      </c>
      <c r="C4" s="145">
        <v>5</v>
      </c>
      <c r="D4" s="145">
        <v>4</v>
      </c>
      <c r="E4" s="145">
        <v>5</v>
      </c>
      <c r="F4" s="145">
        <v>6</v>
      </c>
      <c r="G4" s="145">
        <v>7</v>
      </c>
      <c r="H4" s="146"/>
      <c r="I4" s="40"/>
    </row>
    <row r="5" spans="1:11" ht="18.75" customHeight="1" x14ac:dyDescent="0.25">
      <c r="A5" s="147"/>
      <c r="B5" s="148" t="s">
        <v>24</v>
      </c>
      <c r="C5" s="149">
        <f>C6+C57</f>
        <v>1946391.61</v>
      </c>
      <c r="D5" s="149">
        <f>D6+D57</f>
        <v>2041287.29</v>
      </c>
      <c r="E5" s="149">
        <f>E6+E57</f>
        <v>2286072.42</v>
      </c>
      <c r="F5" s="175">
        <f>E5/C5*100</f>
        <v>117.45</v>
      </c>
      <c r="G5" s="175">
        <f>E5/D5*100</f>
        <v>111.99</v>
      </c>
      <c r="H5" s="146"/>
      <c r="J5" s="40"/>
    </row>
    <row r="6" spans="1:11" s="155" customFormat="1" x14ac:dyDescent="0.25">
      <c r="A6" s="151" t="s">
        <v>290</v>
      </c>
      <c r="B6" s="152" t="s">
        <v>291</v>
      </c>
      <c r="C6" s="153">
        <f>C7+C15+C46+C50+C53</f>
        <v>1835675.98</v>
      </c>
      <c r="D6" s="153">
        <f>D7+D15+D46+D50+D53</f>
        <v>2030409.45</v>
      </c>
      <c r="E6" s="153">
        <f>E7+E15+E46+E50+E53</f>
        <v>2268508.04</v>
      </c>
      <c r="F6" s="154">
        <f t="shared" ref="F6:F49" si="0">E6/C6*100</f>
        <v>123.58</v>
      </c>
      <c r="G6" s="154">
        <f t="shared" ref="G6:G8" si="1">E6/D6*100</f>
        <v>111.73</v>
      </c>
      <c r="K6" s="176"/>
    </row>
    <row r="7" spans="1:11" s="155" customFormat="1" x14ac:dyDescent="0.25">
      <c r="A7" s="156" t="s">
        <v>292</v>
      </c>
      <c r="B7" s="157" t="s">
        <v>293</v>
      </c>
      <c r="C7" s="158">
        <f>C8+C10+C12</f>
        <v>1567425.58</v>
      </c>
      <c r="D7" s="158">
        <f>D8+D10+D12</f>
        <v>1683604.33</v>
      </c>
      <c r="E7" s="158">
        <f>E8+E10+E12</f>
        <v>1912955.62</v>
      </c>
      <c r="F7" s="159">
        <f t="shared" si="0"/>
        <v>122.04</v>
      </c>
      <c r="G7" s="159">
        <f t="shared" si="1"/>
        <v>113.62</v>
      </c>
    </row>
    <row r="8" spans="1:11" s="155" customFormat="1" x14ac:dyDescent="0.25">
      <c r="A8" s="160" t="s">
        <v>294</v>
      </c>
      <c r="B8" s="161" t="s">
        <v>295</v>
      </c>
      <c r="C8" s="162">
        <f>C9</f>
        <v>1299654.4099999999</v>
      </c>
      <c r="D8" s="162">
        <f>D9</f>
        <v>1398352.8</v>
      </c>
      <c r="E8" s="162">
        <f>E9</f>
        <v>1593778.97</v>
      </c>
      <c r="F8" s="163">
        <f t="shared" si="0"/>
        <v>122.63</v>
      </c>
      <c r="G8" s="163">
        <f t="shared" si="1"/>
        <v>113.98</v>
      </c>
    </row>
    <row r="9" spans="1:11" x14ac:dyDescent="0.25">
      <c r="A9" t="s">
        <v>159</v>
      </c>
      <c r="B9" s="165" t="s">
        <v>296</v>
      </c>
      <c r="C9" s="166">
        <v>1299654.4099999999</v>
      </c>
      <c r="D9" s="166">
        <f>'POSEBNI DIO'!G499</f>
        <v>1398352.8</v>
      </c>
      <c r="E9" s="166">
        <f>'POSEBNI DIO'!H499</f>
        <v>1593778.97</v>
      </c>
      <c r="F9" s="167">
        <f t="shared" si="0"/>
        <v>122.63</v>
      </c>
      <c r="G9" s="165" t="s">
        <v>253</v>
      </c>
    </row>
    <row r="10" spans="1:11" s="155" customFormat="1" x14ac:dyDescent="0.25">
      <c r="A10" s="160" t="s">
        <v>297</v>
      </c>
      <c r="B10" s="161" t="s">
        <v>298</v>
      </c>
      <c r="C10" s="162">
        <f>SUM(C11)</f>
        <v>53106.31</v>
      </c>
      <c r="D10" s="162">
        <f>SUM(D11)</f>
        <v>54500</v>
      </c>
      <c r="E10" s="162">
        <f>SUM(E11)</f>
        <v>56533.39</v>
      </c>
      <c r="F10" s="163">
        <f t="shared" si="0"/>
        <v>106.45</v>
      </c>
      <c r="G10" s="163">
        <f>E10/D10*100</f>
        <v>103.73</v>
      </c>
    </row>
    <row r="11" spans="1:11" x14ac:dyDescent="0.25">
      <c r="A11" t="s">
        <v>160</v>
      </c>
      <c r="B11" s="165" t="s">
        <v>298</v>
      </c>
      <c r="C11" s="166">
        <v>53106.31</v>
      </c>
      <c r="D11" s="166">
        <f>'POSEBNI DIO'!G500</f>
        <v>54500</v>
      </c>
      <c r="E11" s="166">
        <f>'POSEBNI DIO'!H500</f>
        <v>56533.39</v>
      </c>
      <c r="F11" s="167">
        <f t="shared" si="0"/>
        <v>106.45</v>
      </c>
      <c r="G11" s="165" t="s">
        <v>253</v>
      </c>
      <c r="K11" s="134"/>
    </row>
    <row r="12" spans="1:11" s="155" customFormat="1" x14ac:dyDescent="0.25">
      <c r="A12" s="160" t="s">
        <v>299</v>
      </c>
      <c r="B12" s="161" t="s">
        <v>300</v>
      </c>
      <c r="C12" s="162">
        <f>SUM(C13:C14)</f>
        <v>214664.86</v>
      </c>
      <c r="D12" s="162">
        <f>SUM(D13:D14)</f>
        <v>230751.53</v>
      </c>
      <c r="E12" s="162">
        <f>SUM(E13:E14)</f>
        <v>262643.26</v>
      </c>
      <c r="F12" s="163">
        <f t="shared" si="0"/>
        <v>122.35</v>
      </c>
      <c r="G12" s="163">
        <f>E12/D12*100</f>
        <v>113.82</v>
      </c>
    </row>
    <row r="13" spans="1:11" x14ac:dyDescent="0.25">
      <c r="A13" t="s">
        <v>161</v>
      </c>
      <c r="B13" s="165" t="s">
        <v>301</v>
      </c>
      <c r="C13" s="166">
        <v>214664.86</v>
      </c>
      <c r="D13" s="166">
        <f>'POSEBNI DIO'!G501</f>
        <v>230746.53</v>
      </c>
      <c r="E13" s="166">
        <f>'POSEBNI DIO'!H501</f>
        <v>262643.26</v>
      </c>
      <c r="F13" s="167">
        <f t="shared" si="0"/>
        <v>122.35</v>
      </c>
      <c r="G13" s="165" t="s">
        <v>253</v>
      </c>
    </row>
    <row r="14" spans="1:11" x14ac:dyDescent="0.25">
      <c r="A14" t="s">
        <v>174</v>
      </c>
      <c r="B14" s="165" t="s">
        <v>302</v>
      </c>
      <c r="C14" s="166">
        <v>0</v>
      </c>
      <c r="D14" s="166">
        <f>'POSEBNI DIO'!G502</f>
        <v>5</v>
      </c>
      <c r="E14" s="166">
        <f>'POSEBNI DIO'!H502</f>
        <v>0</v>
      </c>
      <c r="F14" s="167" t="e">
        <f t="shared" si="0"/>
        <v>#DIV/0!</v>
      </c>
      <c r="G14" s="165" t="s">
        <v>253</v>
      </c>
    </row>
    <row r="15" spans="1:11" s="155" customFormat="1" x14ac:dyDescent="0.25">
      <c r="A15" s="156" t="s">
        <v>303</v>
      </c>
      <c r="B15" s="157" t="s">
        <v>304</v>
      </c>
      <c r="C15" s="158">
        <f>C16+C21+C28+C38</f>
        <v>265271.49</v>
      </c>
      <c r="D15" s="158">
        <f>D16+D21+D28+D38</f>
        <v>344654.69</v>
      </c>
      <c r="E15" s="158">
        <f>E16+E21+E28+E38</f>
        <v>353293.12</v>
      </c>
      <c r="F15" s="159">
        <f t="shared" si="0"/>
        <v>133.18</v>
      </c>
      <c r="G15" s="159">
        <f>E15/D15*100</f>
        <v>102.51</v>
      </c>
    </row>
    <row r="16" spans="1:11" s="155" customFormat="1" x14ac:dyDescent="0.25">
      <c r="A16" s="160" t="s">
        <v>305</v>
      </c>
      <c r="B16" s="161" t="s">
        <v>306</v>
      </c>
      <c r="C16" s="162">
        <f>SUM(C17:C20)</f>
        <v>51340.18</v>
      </c>
      <c r="D16" s="162">
        <f>SUM(D17:D20)</f>
        <v>60104.69</v>
      </c>
      <c r="E16" s="162">
        <f>SUM(E17:E20)</f>
        <v>53036.35</v>
      </c>
      <c r="F16" s="163">
        <f t="shared" si="0"/>
        <v>103.3</v>
      </c>
      <c r="G16" s="163">
        <f>E16/D16*100</f>
        <v>88.24</v>
      </c>
    </row>
    <row r="17" spans="1:7" x14ac:dyDescent="0.25">
      <c r="A17" t="s">
        <v>162</v>
      </c>
      <c r="B17" s="165" t="s">
        <v>307</v>
      </c>
      <c r="C17" s="166">
        <v>6418.47</v>
      </c>
      <c r="D17" s="166">
        <f>'POSEBNI DIO'!G504</f>
        <v>9170</v>
      </c>
      <c r="E17" s="166">
        <f>'POSEBNI DIO'!H504</f>
        <v>8641.23</v>
      </c>
      <c r="F17" s="167">
        <f t="shared" si="0"/>
        <v>134.63</v>
      </c>
      <c r="G17" s="165" t="s">
        <v>253</v>
      </c>
    </row>
    <row r="18" spans="1:7" x14ac:dyDescent="0.25">
      <c r="A18" t="s">
        <v>163</v>
      </c>
      <c r="B18" s="165" t="s">
        <v>308</v>
      </c>
      <c r="C18" s="166">
        <v>43250.66</v>
      </c>
      <c r="D18" s="166">
        <f>'POSEBNI DIO'!G505</f>
        <v>49084.69</v>
      </c>
      <c r="E18" s="166">
        <f>'POSEBNI DIO'!H505</f>
        <v>43481.52</v>
      </c>
      <c r="F18" s="167">
        <f t="shared" si="0"/>
        <v>100.53</v>
      </c>
      <c r="G18" s="165" t="s">
        <v>253</v>
      </c>
    </row>
    <row r="19" spans="1:7" x14ac:dyDescent="0.25">
      <c r="A19" t="s">
        <v>309</v>
      </c>
      <c r="B19" s="165" t="s">
        <v>310</v>
      </c>
      <c r="C19" s="166">
        <v>677.91</v>
      </c>
      <c r="D19" s="166">
        <f>'POSEBNI DIO'!G506</f>
        <v>1650</v>
      </c>
      <c r="E19" s="166">
        <f>'POSEBNI DIO'!H506</f>
        <v>913.6</v>
      </c>
      <c r="F19" s="167">
        <f t="shared" si="0"/>
        <v>134.77000000000001</v>
      </c>
      <c r="G19" s="165" t="s">
        <v>253</v>
      </c>
    </row>
    <row r="20" spans="1:7" x14ac:dyDescent="0.25">
      <c r="A20" s="164">
        <v>3214</v>
      </c>
      <c r="B20" s="165" t="s">
        <v>387</v>
      </c>
      <c r="C20" s="166">
        <v>993.14</v>
      </c>
      <c r="D20" s="166">
        <f>'POSEBNI DIO'!G507</f>
        <v>200</v>
      </c>
      <c r="E20" s="166">
        <f>'POSEBNI DIO'!H507</f>
        <v>0</v>
      </c>
      <c r="F20" s="167">
        <f t="shared" ref="F20" si="2">E20/C20*100</f>
        <v>0</v>
      </c>
      <c r="G20" s="165" t="s">
        <v>253</v>
      </c>
    </row>
    <row r="21" spans="1:7" s="155" customFormat="1" x14ac:dyDescent="0.25">
      <c r="A21" s="160" t="s">
        <v>311</v>
      </c>
      <c r="B21" s="161" t="s">
        <v>312</v>
      </c>
      <c r="C21" s="162">
        <f>SUM(C22:C27)</f>
        <v>157211.18</v>
      </c>
      <c r="D21" s="162">
        <f>SUM(D22:D27)</f>
        <v>198422.16</v>
      </c>
      <c r="E21" s="162">
        <f>SUM(E22:E27)</f>
        <v>193879.73</v>
      </c>
      <c r="F21" s="163">
        <f t="shared" si="0"/>
        <v>123.32</v>
      </c>
      <c r="G21" s="163">
        <f>E21/D21*100</f>
        <v>97.71</v>
      </c>
    </row>
    <row r="22" spans="1:7" x14ac:dyDescent="0.25">
      <c r="A22" t="s">
        <v>177</v>
      </c>
      <c r="B22" s="165" t="s">
        <v>313</v>
      </c>
      <c r="C22" s="166">
        <v>38450.46</v>
      </c>
      <c r="D22" s="166">
        <f>'POSEBNI DIO'!G508</f>
        <v>37846.660000000003</v>
      </c>
      <c r="E22" s="166">
        <f>'POSEBNI DIO'!H508</f>
        <v>52543.78</v>
      </c>
      <c r="F22" s="167">
        <f t="shared" si="0"/>
        <v>136.65</v>
      </c>
      <c r="G22" s="165" t="s">
        <v>253</v>
      </c>
    </row>
    <row r="23" spans="1:7" x14ac:dyDescent="0.25">
      <c r="A23" t="s">
        <v>178</v>
      </c>
      <c r="B23" s="165" t="s">
        <v>314</v>
      </c>
      <c r="C23" s="166">
        <v>97777.4</v>
      </c>
      <c r="D23" s="166">
        <f>'POSEBNI DIO'!G509</f>
        <v>136525.5</v>
      </c>
      <c r="E23" s="166">
        <f>'POSEBNI DIO'!H509</f>
        <v>118730.96</v>
      </c>
      <c r="F23" s="167">
        <f t="shared" si="0"/>
        <v>121.43</v>
      </c>
      <c r="G23" s="165" t="s">
        <v>253</v>
      </c>
    </row>
    <row r="24" spans="1:7" x14ac:dyDescent="0.25">
      <c r="A24" t="s">
        <v>315</v>
      </c>
      <c r="B24" s="165" t="s">
        <v>316</v>
      </c>
      <c r="C24" s="166">
        <v>17493.48</v>
      </c>
      <c r="D24" s="166">
        <f>'POSEBNI DIO'!G510</f>
        <v>17150</v>
      </c>
      <c r="E24" s="166">
        <f>'POSEBNI DIO'!H510</f>
        <v>16285.91</v>
      </c>
      <c r="F24" s="167">
        <f t="shared" si="0"/>
        <v>93.1</v>
      </c>
      <c r="G24" s="165" t="s">
        <v>253</v>
      </c>
    </row>
    <row r="25" spans="1:7" x14ac:dyDescent="0.25">
      <c r="A25" t="s">
        <v>164</v>
      </c>
      <c r="B25" s="165" t="s">
        <v>317</v>
      </c>
      <c r="C25" s="166">
        <v>2216.54</v>
      </c>
      <c r="D25" s="166">
        <f>'POSEBNI DIO'!G511</f>
        <v>3500</v>
      </c>
      <c r="E25" s="166">
        <f>'POSEBNI DIO'!H511</f>
        <v>3358.47</v>
      </c>
      <c r="F25" s="167">
        <f t="shared" si="0"/>
        <v>151.52000000000001</v>
      </c>
      <c r="G25" s="165" t="s">
        <v>253</v>
      </c>
    </row>
    <row r="26" spans="1:7" x14ac:dyDescent="0.25">
      <c r="A26" t="s">
        <v>179</v>
      </c>
      <c r="B26" s="165" t="s">
        <v>318</v>
      </c>
      <c r="C26" s="166">
        <v>676.46</v>
      </c>
      <c r="D26" s="166">
        <f>'POSEBNI DIO'!G512</f>
        <v>2500</v>
      </c>
      <c r="E26" s="166">
        <f>'POSEBNI DIO'!H512</f>
        <v>2679.69</v>
      </c>
      <c r="F26" s="167">
        <f t="shared" si="0"/>
        <v>396.13</v>
      </c>
      <c r="G26" s="165" t="s">
        <v>253</v>
      </c>
    </row>
    <row r="27" spans="1:7" x14ac:dyDescent="0.25">
      <c r="A27" t="s">
        <v>184</v>
      </c>
      <c r="B27" s="165" t="s">
        <v>319</v>
      </c>
      <c r="C27" s="166">
        <v>596.84</v>
      </c>
      <c r="D27" s="166">
        <f>'POSEBNI DIO'!G513</f>
        <v>900</v>
      </c>
      <c r="E27" s="166">
        <f>'POSEBNI DIO'!H513</f>
        <v>280.92</v>
      </c>
      <c r="G27" s="165" t="s">
        <v>253</v>
      </c>
    </row>
    <row r="28" spans="1:7" s="155" customFormat="1" x14ac:dyDescent="0.25">
      <c r="A28" s="160" t="s">
        <v>320</v>
      </c>
      <c r="B28" s="161" t="s">
        <v>321</v>
      </c>
      <c r="C28" s="162">
        <f>SUM(C29:C37)</f>
        <v>42522.080000000002</v>
      </c>
      <c r="D28" s="162">
        <f>SUM(D29:D37)</f>
        <v>69729.84</v>
      </c>
      <c r="E28" s="162">
        <f>SUM(E29:E37)</f>
        <v>93536.9</v>
      </c>
      <c r="F28" s="163">
        <f t="shared" si="0"/>
        <v>219.97</v>
      </c>
      <c r="G28" s="163">
        <f>E28/D28*100</f>
        <v>134.13999999999999</v>
      </c>
    </row>
    <row r="29" spans="1:7" x14ac:dyDescent="0.25">
      <c r="A29" t="s">
        <v>322</v>
      </c>
      <c r="B29" s="165" t="s">
        <v>323</v>
      </c>
      <c r="C29" s="166">
        <v>14680.77</v>
      </c>
      <c r="D29" s="166">
        <f>'POSEBNI DIO'!G514</f>
        <v>18920</v>
      </c>
      <c r="E29" s="166">
        <f>'POSEBNI DIO'!H514</f>
        <v>12968.39</v>
      </c>
      <c r="F29" s="167">
        <f t="shared" si="0"/>
        <v>88.34</v>
      </c>
      <c r="G29" s="165" t="s">
        <v>253</v>
      </c>
    </row>
    <row r="30" spans="1:7" x14ac:dyDescent="0.25">
      <c r="A30" t="s">
        <v>165</v>
      </c>
      <c r="B30" s="165" t="s">
        <v>324</v>
      </c>
      <c r="C30" s="166">
        <v>10307</v>
      </c>
      <c r="D30" s="166">
        <f>'POSEBNI DIO'!G515</f>
        <v>32186.84</v>
      </c>
      <c r="E30" s="166">
        <f>'POSEBNI DIO'!H515</f>
        <v>59816</v>
      </c>
      <c r="F30" s="167">
        <f t="shared" si="0"/>
        <v>580.34</v>
      </c>
      <c r="G30" s="165" t="s">
        <v>253</v>
      </c>
    </row>
    <row r="31" spans="1:7" x14ac:dyDescent="0.25">
      <c r="A31" t="s">
        <v>186</v>
      </c>
      <c r="B31" s="165" t="s">
        <v>325</v>
      </c>
      <c r="C31" s="166">
        <v>0</v>
      </c>
      <c r="D31" s="166">
        <f>'POSEBNI DIO'!G516</f>
        <v>10</v>
      </c>
      <c r="E31" s="166">
        <f>'POSEBNI DIO'!H516</f>
        <v>0</v>
      </c>
      <c r="F31" s="167">
        <v>0</v>
      </c>
      <c r="G31" s="165" t="s">
        <v>253</v>
      </c>
    </row>
    <row r="32" spans="1:7" x14ac:dyDescent="0.25">
      <c r="A32" t="s">
        <v>326</v>
      </c>
      <c r="B32" s="165" t="s">
        <v>327</v>
      </c>
      <c r="C32" s="166">
        <v>4136.45</v>
      </c>
      <c r="D32" s="166">
        <f>'POSEBNI DIO'!G517</f>
        <v>4700</v>
      </c>
      <c r="E32" s="166">
        <f>'POSEBNI DIO'!H517</f>
        <v>4883.6400000000003</v>
      </c>
      <c r="F32" s="167">
        <f t="shared" si="0"/>
        <v>118.06</v>
      </c>
      <c r="G32" s="165" t="s">
        <v>253</v>
      </c>
    </row>
    <row r="33" spans="1:7" x14ac:dyDescent="0.25">
      <c r="A33" t="s">
        <v>328</v>
      </c>
      <c r="B33" s="165" t="s">
        <v>329</v>
      </c>
      <c r="C33" s="166">
        <v>5379.29</v>
      </c>
      <c r="D33" s="166">
        <f>'POSEBNI DIO'!G518</f>
        <v>2520</v>
      </c>
      <c r="E33" s="166">
        <f>'POSEBNI DIO'!H518</f>
        <v>4186.97</v>
      </c>
      <c r="F33" s="167">
        <f t="shared" si="0"/>
        <v>77.83</v>
      </c>
      <c r="G33" s="165" t="s">
        <v>253</v>
      </c>
    </row>
    <row r="34" spans="1:7" x14ac:dyDescent="0.25">
      <c r="A34" t="s">
        <v>173</v>
      </c>
      <c r="B34" s="165" t="s">
        <v>330</v>
      </c>
      <c r="C34" s="166">
        <v>4097.93</v>
      </c>
      <c r="D34" s="166">
        <f>'POSEBNI DIO'!G519</f>
        <v>4550</v>
      </c>
      <c r="E34" s="166">
        <f>'POSEBNI DIO'!H519</f>
        <v>3787.57</v>
      </c>
      <c r="F34" s="167">
        <f t="shared" si="0"/>
        <v>92.43</v>
      </c>
      <c r="G34" s="165" t="s">
        <v>253</v>
      </c>
    </row>
    <row r="35" spans="1:7" x14ac:dyDescent="0.25">
      <c r="A35" t="s">
        <v>185</v>
      </c>
      <c r="B35" s="165" t="s">
        <v>331</v>
      </c>
      <c r="C35" s="166">
        <v>939.68</v>
      </c>
      <c r="D35" s="166">
        <f>'POSEBNI DIO'!G520</f>
        <v>2331</v>
      </c>
      <c r="E35" s="166">
        <f>'POSEBNI DIO'!H520</f>
        <v>4049.75</v>
      </c>
      <c r="F35" s="167">
        <f t="shared" si="0"/>
        <v>430.97</v>
      </c>
      <c r="G35" s="165" t="s">
        <v>253</v>
      </c>
    </row>
    <row r="36" spans="1:7" x14ac:dyDescent="0.25">
      <c r="A36" t="s">
        <v>332</v>
      </c>
      <c r="B36" s="165" t="s">
        <v>333</v>
      </c>
      <c r="C36" s="166">
        <v>2148.46</v>
      </c>
      <c r="D36" s="166">
        <f>'POSEBNI DIO'!G521</f>
        <v>2500</v>
      </c>
      <c r="E36" s="166">
        <f>'POSEBNI DIO'!H521</f>
        <v>2598.8000000000002</v>
      </c>
      <c r="F36" s="167">
        <f t="shared" si="0"/>
        <v>120.96</v>
      </c>
      <c r="G36" s="165" t="s">
        <v>253</v>
      </c>
    </row>
    <row r="37" spans="1:7" x14ac:dyDescent="0.25">
      <c r="A37" t="s">
        <v>334</v>
      </c>
      <c r="B37" s="165" t="s">
        <v>335</v>
      </c>
      <c r="C37" s="166">
        <v>832.5</v>
      </c>
      <c r="D37" s="166">
        <f>'POSEBNI DIO'!G522</f>
        <v>2012</v>
      </c>
      <c r="E37" s="166">
        <f>'POSEBNI DIO'!H522</f>
        <v>1245.78</v>
      </c>
      <c r="F37" s="167">
        <f t="shared" si="0"/>
        <v>149.63999999999999</v>
      </c>
      <c r="G37" s="165" t="s">
        <v>253</v>
      </c>
    </row>
    <row r="38" spans="1:7" s="155" customFormat="1" x14ac:dyDescent="0.25">
      <c r="A38" s="160" t="s">
        <v>336</v>
      </c>
      <c r="B38" s="161" t="s">
        <v>337</v>
      </c>
      <c r="C38" s="162">
        <f>SUM(C39:C45)</f>
        <v>14198.05</v>
      </c>
      <c r="D38" s="162">
        <f>SUM(D39:D45)</f>
        <v>16398</v>
      </c>
      <c r="E38" s="162">
        <f>SUM(E39:E45)</f>
        <v>12840.14</v>
      </c>
      <c r="F38" s="163">
        <f t="shared" si="0"/>
        <v>90.44</v>
      </c>
      <c r="G38" s="163">
        <f>E38/D38*100</f>
        <v>78.3</v>
      </c>
    </row>
    <row r="39" spans="1:7" x14ac:dyDescent="0.25">
      <c r="A39" s="164">
        <v>3291</v>
      </c>
      <c r="B39" s="165" t="s">
        <v>338</v>
      </c>
      <c r="C39" s="166">
        <v>0</v>
      </c>
      <c r="D39" s="166">
        <f>'POSEBNI DIO'!G523</f>
        <v>0</v>
      </c>
      <c r="E39" s="166">
        <f>'POSEBNI DIO'!H523</f>
        <v>0</v>
      </c>
      <c r="F39" s="167">
        <v>0</v>
      </c>
      <c r="G39" s="165" t="s">
        <v>253</v>
      </c>
    </row>
    <row r="40" spans="1:7" x14ac:dyDescent="0.25">
      <c r="A40" t="s">
        <v>171</v>
      </c>
      <c r="B40" s="165" t="s">
        <v>339</v>
      </c>
      <c r="C40" s="166">
        <v>1740</v>
      </c>
      <c r="D40" s="166">
        <f>'POSEBNI DIO'!G524</f>
        <v>1900</v>
      </c>
      <c r="E40" s="166">
        <f>'POSEBNI DIO'!H524</f>
        <v>0</v>
      </c>
      <c r="G40" s="165" t="s">
        <v>253</v>
      </c>
    </row>
    <row r="41" spans="1:7" x14ac:dyDescent="0.25">
      <c r="A41" t="s">
        <v>156</v>
      </c>
      <c r="B41" s="165" t="s">
        <v>340</v>
      </c>
      <c r="C41" s="166">
        <v>639.58000000000004</v>
      </c>
      <c r="D41" s="166">
        <f>'POSEBNI DIO'!G525</f>
        <v>840</v>
      </c>
      <c r="E41" s="166">
        <f>'POSEBNI DIO'!H525</f>
        <v>124.88</v>
      </c>
      <c r="F41" s="167">
        <f t="shared" si="0"/>
        <v>19.53</v>
      </c>
      <c r="G41" s="165" t="s">
        <v>253</v>
      </c>
    </row>
    <row r="42" spans="1:7" x14ac:dyDescent="0.25">
      <c r="A42" s="164">
        <v>3294</v>
      </c>
      <c r="B42" s="165" t="s">
        <v>341</v>
      </c>
      <c r="C42" s="166">
        <v>198.09</v>
      </c>
      <c r="D42" s="166">
        <f>'POSEBNI DIO'!G526</f>
        <v>300</v>
      </c>
      <c r="E42" s="166">
        <f>'POSEBNI DIO'!H526</f>
        <v>195</v>
      </c>
      <c r="F42" s="167">
        <f t="shared" si="0"/>
        <v>98.44</v>
      </c>
      <c r="G42" s="165" t="s">
        <v>253</v>
      </c>
    </row>
    <row r="43" spans="1:7" x14ac:dyDescent="0.25">
      <c r="A43" t="s">
        <v>175</v>
      </c>
      <c r="B43" s="165" t="s">
        <v>342</v>
      </c>
      <c r="C43" s="166">
        <v>4061.94</v>
      </c>
      <c r="D43" s="166">
        <f>'POSEBNI DIO'!G527</f>
        <v>4162</v>
      </c>
      <c r="E43" s="166">
        <f>'POSEBNI DIO'!H527</f>
        <v>5005.12</v>
      </c>
      <c r="F43" s="167">
        <f t="shared" si="0"/>
        <v>123.22</v>
      </c>
      <c r="G43" s="165" t="s">
        <v>253</v>
      </c>
    </row>
    <row r="44" spans="1:7" x14ac:dyDescent="0.25">
      <c r="A44" t="s">
        <v>176</v>
      </c>
      <c r="B44" s="165" t="s">
        <v>343</v>
      </c>
      <c r="C44" s="166">
        <v>0</v>
      </c>
      <c r="D44" s="166">
        <f>'POSEBNI DIO'!G528</f>
        <v>10</v>
      </c>
      <c r="E44" s="166">
        <f>'POSEBNI DIO'!H528</f>
        <v>0</v>
      </c>
      <c r="F44" s="167" t="e">
        <f t="shared" si="0"/>
        <v>#DIV/0!</v>
      </c>
      <c r="G44" s="165" t="s">
        <v>253</v>
      </c>
    </row>
    <row r="45" spans="1:7" x14ac:dyDescent="0.25">
      <c r="A45" t="s">
        <v>158</v>
      </c>
      <c r="B45" s="165" t="s">
        <v>337</v>
      </c>
      <c r="C45" s="166">
        <v>7558.44</v>
      </c>
      <c r="D45" s="166">
        <f>'POSEBNI DIO'!G529</f>
        <v>9186</v>
      </c>
      <c r="E45" s="166">
        <f>'POSEBNI DIO'!H529</f>
        <v>7515.14</v>
      </c>
      <c r="F45" s="167">
        <f t="shared" si="0"/>
        <v>99.43</v>
      </c>
      <c r="G45" s="165" t="s">
        <v>253</v>
      </c>
    </row>
    <row r="46" spans="1:7" s="155" customFormat="1" x14ac:dyDescent="0.25">
      <c r="A46" s="156" t="s">
        <v>344</v>
      </c>
      <c r="B46" s="157" t="s">
        <v>92</v>
      </c>
      <c r="C46" s="158">
        <f>C47</f>
        <v>1057.1300000000001</v>
      </c>
      <c r="D46" s="158">
        <f>D47</f>
        <v>1165</v>
      </c>
      <c r="E46" s="158">
        <f>E47</f>
        <v>1041.8699999999999</v>
      </c>
      <c r="F46" s="159">
        <f t="shared" si="0"/>
        <v>98.56</v>
      </c>
      <c r="G46" s="159">
        <f>E46/D46*100</f>
        <v>89.43</v>
      </c>
    </row>
    <row r="47" spans="1:7" s="155" customFormat="1" x14ac:dyDescent="0.25">
      <c r="A47" s="160" t="s">
        <v>345</v>
      </c>
      <c r="B47" s="161" t="s">
        <v>346</v>
      </c>
      <c r="C47" s="162">
        <f>SUM(C48:C49)</f>
        <v>1057.1300000000001</v>
      </c>
      <c r="D47" s="162">
        <f>SUM(D48:D49)</f>
        <v>1165</v>
      </c>
      <c r="E47" s="162">
        <f>SUM(E48:E49)</f>
        <v>1041.8699999999999</v>
      </c>
      <c r="F47" s="163">
        <f t="shared" si="0"/>
        <v>98.56</v>
      </c>
      <c r="G47" s="163">
        <f>E47/D47*100</f>
        <v>89.43</v>
      </c>
    </row>
    <row r="48" spans="1:7" x14ac:dyDescent="0.25">
      <c r="A48" t="s">
        <v>155</v>
      </c>
      <c r="B48" s="165" t="s">
        <v>347</v>
      </c>
      <c r="C48" s="166">
        <v>1052.23</v>
      </c>
      <c r="D48" s="166">
        <f>'POSEBNI DIO'!G531</f>
        <v>1140</v>
      </c>
      <c r="E48" s="166">
        <f>'POSEBNI DIO'!H531</f>
        <v>1041.8699999999999</v>
      </c>
      <c r="F48" s="167">
        <f>E48/C48*100</f>
        <v>99.02</v>
      </c>
      <c r="G48" s="165" t="s">
        <v>253</v>
      </c>
    </row>
    <row r="49" spans="1:7" x14ac:dyDescent="0.25">
      <c r="A49" t="s">
        <v>166</v>
      </c>
      <c r="B49" s="165" t="s">
        <v>348</v>
      </c>
      <c r="C49" s="166">
        <v>4.9000000000000004</v>
      </c>
      <c r="D49" s="166">
        <f>'POSEBNI DIO'!G532</f>
        <v>25</v>
      </c>
      <c r="E49" s="166">
        <f>'POSEBNI DIO'!H532</f>
        <v>0</v>
      </c>
      <c r="F49" s="167">
        <f t="shared" si="0"/>
        <v>0</v>
      </c>
      <c r="G49" s="165" t="s">
        <v>253</v>
      </c>
    </row>
    <row r="50" spans="1:7" s="155" customFormat="1" x14ac:dyDescent="0.25">
      <c r="A50" s="156" t="s">
        <v>349</v>
      </c>
      <c r="B50" s="157" t="s">
        <v>350</v>
      </c>
      <c r="C50" s="158">
        <f>C51</f>
        <v>537.92999999999995</v>
      </c>
      <c r="D50" s="158">
        <f>D51</f>
        <v>0</v>
      </c>
      <c r="E50" s="158">
        <f>E51</f>
        <v>232</v>
      </c>
      <c r="F50" s="159">
        <v>0</v>
      </c>
      <c r="G50" s="159" t="e">
        <f>E50/D50*100</f>
        <v>#DIV/0!</v>
      </c>
    </row>
    <row r="51" spans="1:7" s="155" customFormat="1" x14ac:dyDescent="0.25">
      <c r="A51" s="160" t="s">
        <v>351</v>
      </c>
      <c r="B51" s="161" t="s">
        <v>352</v>
      </c>
      <c r="C51" s="162">
        <f>SUM(C52)</f>
        <v>537.92999999999995</v>
      </c>
      <c r="D51" s="162">
        <f>SUM(D52)</f>
        <v>0</v>
      </c>
      <c r="E51" s="162">
        <f>SUM(E52)</f>
        <v>232</v>
      </c>
      <c r="F51" s="163">
        <v>0</v>
      </c>
      <c r="G51" s="163" t="e">
        <f>E51/D51*100</f>
        <v>#DIV/0!</v>
      </c>
    </row>
    <row r="52" spans="1:7" x14ac:dyDescent="0.25">
      <c r="A52" t="s">
        <v>187</v>
      </c>
      <c r="B52" s="165" t="s">
        <v>353</v>
      </c>
      <c r="C52" s="166">
        <v>537.92999999999995</v>
      </c>
      <c r="D52" s="166">
        <f>'POSEBNI DIO'!G534</f>
        <v>0</v>
      </c>
      <c r="E52" s="166">
        <f>'POSEBNI DIO'!H534</f>
        <v>232</v>
      </c>
      <c r="F52" s="167">
        <v>0</v>
      </c>
      <c r="G52" s="165" t="s">
        <v>253</v>
      </c>
    </row>
    <row r="53" spans="1:7" s="155" customFormat="1" x14ac:dyDescent="0.25">
      <c r="A53" s="169">
        <v>38</v>
      </c>
      <c r="B53" s="157" t="s">
        <v>354</v>
      </c>
      <c r="C53" s="158">
        <f>C54</f>
        <v>1383.85</v>
      </c>
      <c r="D53" s="158">
        <f>D54</f>
        <v>985.43</v>
      </c>
      <c r="E53" s="158">
        <f>E54</f>
        <v>985.43</v>
      </c>
      <c r="F53" s="159"/>
      <c r="G53" s="159">
        <v>0</v>
      </c>
    </row>
    <row r="54" spans="1:7" s="155" customFormat="1" x14ac:dyDescent="0.25">
      <c r="A54" s="171">
        <v>381</v>
      </c>
      <c r="B54" s="161" t="s">
        <v>278</v>
      </c>
      <c r="C54" s="162">
        <f>SUM(C55:C56)</f>
        <v>1383.85</v>
      </c>
      <c r="D54" s="162">
        <f>SUM(D55:D56)</f>
        <v>985.43</v>
      </c>
      <c r="E54" s="162">
        <f>SUM(E55:E56)</f>
        <v>985.43</v>
      </c>
      <c r="F54" s="163"/>
      <c r="G54" s="163">
        <v>0</v>
      </c>
    </row>
    <row r="55" spans="1:7" x14ac:dyDescent="0.25">
      <c r="A55" s="164">
        <v>3811</v>
      </c>
      <c r="B55" s="165" t="s">
        <v>97</v>
      </c>
      <c r="C55" s="166">
        <v>380</v>
      </c>
      <c r="D55" s="166">
        <f>'POSEBNI DIO'!G536</f>
        <v>0</v>
      </c>
      <c r="E55" s="166">
        <f>'POSEBNI DIO'!H536</f>
        <v>0</v>
      </c>
      <c r="G55" s="165" t="s">
        <v>253</v>
      </c>
    </row>
    <row r="56" spans="1:7" x14ac:dyDescent="0.25">
      <c r="A56" s="164">
        <v>3812</v>
      </c>
      <c r="B56" s="165" t="s">
        <v>239</v>
      </c>
      <c r="C56" s="166">
        <v>1003.85</v>
      </c>
      <c r="D56" s="166">
        <f>'POSEBNI DIO'!G537</f>
        <v>985.43</v>
      </c>
      <c r="E56" s="166">
        <f>'POSEBNI DIO'!H537</f>
        <v>985.43</v>
      </c>
      <c r="G56" s="165" t="s">
        <v>253</v>
      </c>
    </row>
    <row r="57" spans="1:7" s="155" customFormat="1" x14ac:dyDescent="0.25">
      <c r="A57" s="151" t="s">
        <v>355</v>
      </c>
      <c r="B57" s="152" t="s">
        <v>5</v>
      </c>
      <c r="C57" s="153">
        <f>C58+C69</f>
        <v>110715.63</v>
      </c>
      <c r="D57" s="153">
        <f>D58+D69</f>
        <v>10877.84</v>
      </c>
      <c r="E57" s="153">
        <f>E58+E69</f>
        <v>17564.38</v>
      </c>
      <c r="F57" s="154">
        <f t="shared" ref="F57:F61" si="3">E57/C57*100</f>
        <v>15.86</v>
      </c>
      <c r="G57" s="154">
        <f>E57/D57*100</f>
        <v>161.47</v>
      </c>
    </row>
    <row r="58" spans="1:7" s="155" customFormat="1" x14ac:dyDescent="0.25">
      <c r="A58" s="156" t="s">
        <v>356</v>
      </c>
      <c r="B58" s="157" t="s">
        <v>357</v>
      </c>
      <c r="C58" s="158">
        <f>C59+C61+C67</f>
        <v>99688.53</v>
      </c>
      <c r="D58" s="158">
        <f>D59+D61+D67</f>
        <v>10877.84</v>
      </c>
      <c r="E58" s="158">
        <f>E59+E61+E67</f>
        <v>17564.38</v>
      </c>
      <c r="F58" s="159">
        <f t="shared" si="3"/>
        <v>17.62</v>
      </c>
      <c r="G58" s="159">
        <f>E58/D58*100</f>
        <v>161.47</v>
      </c>
    </row>
    <row r="59" spans="1:7" s="155" customFormat="1" x14ac:dyDescent="0.25">
      <c r="A59" s="160" t="s">
        <v>358</v>
      </c>
      <c r="B59" s="161" t="s">
        <v>359</v>
      </c>
      <c r="C59" s="162">
        <f>SUM(C60)</f>
        <v>73370.41</v>
      </c>
      <c r="D59" s="162">
        <f>SUM(D60)</f>
        <v>0</v>
      </c>
      <c r="E59" s="162">
        <f>SUM(E60)</f>
        <v>0</v>
      </c>
      <c r="F59" s="163">
        <v>0</v>
      </c>
      <c r="G59" s="163"/>
    </row>
    <row r="60" spans="1:7" x14ac:dyDescent="0.25">
      <c r="A60" t="s">
        <v>190</v>
      </c>
      <c r="B60" s="165" t="s">
        <v>360</v>
      </c>
      <c r="C60" s="166">
        <v>73370.41</v>
      </c>
      <c r="D60" s="166">
        <f>'POSEBNI DIO'!G539</f>
        <v>0</v>
      </c>
      <c r="E60" s="166">
        <f>'POSEBNI DIO'!H539</f>
        <v>0</v>
      </c>
      <c r="F60" s="167">
        <v>0</v>
      </c>
      <c r="G60" s="165" t="s">
        <v>253</v>
      </c>
    </row>
    <row r="61" spans="1:7" s="155" customFormat="1" x14ac:dyDescent="0.25">
      <c r="A61" s="160" t="s">
        <v>361</v>
      </c>
      <c r="B61" s="161" t="s">
        <v>362</v>
      </c>
      <c r="C61" s="162">
        <f>SUM(C62:C66)</f>
        <v>24010.83</v>
      </c>
      <c r="D61" s="162">
        <f>SUM(D62:D66)</f>
        <v>6317.84</v>
      </c>
      <c r="E61" s="162">
        <f>SUM(E62:E66)</f>
        <v>13239.53</v>
      </c>
      <c r="F61" s="163">
        <f t="shared" si="3"/>
        <v>55.14</v>
      </c>
      <c r="G61" s="163">
        <f>E61/D61*100</f>
        <v>209.56</v>
      </c>
    </row>
    <row r="62" spans="1:7" x14ac:dyDescent="0.25">
      <c r="A62" t="s">
        <v>167</v>
      </c>
      <c r="B62" s="165" t="s">
        <v>363</v>
      </c>
      <c r="C62" s="166">
        <v>20238.45</v>
      </c>
      <c r="D62" s="166">
        <f>'POSEBNI DIO'!G540</f>
        <v>3617.84</v>
      </c>
      <c r="E62" s="166">
        <f>'POSEBNI DIO'!H540</f>
        <v>12206.34</v>
      </c>
      <c r="G62" s="165" t="s">
        <v>253</v>
      </c>
    </row>
    <row r="63" spans="1:7" x14ac:dyDescent="0.25">
      <c r="A63" s="164">
        <v>4222</v>
      </c>
      <c r="C63" s="166">
        <v>0</v>
      </c>
      <c r="D63" s="166">
        <v>0</v>
      </c>
      <c r="F63" s="167">
        <v>0</v>
      </c>
      <c r="G63" s="165" t="s">
        <v>253</v>
      </c>
    </row>
    <row r="64" spans="1:7" x14ac:dyDescent="0.25">
      <c r="A64" s="164">
        <v>4223</v>
      </c>
      <c r="B64" s="165" t="s">
        <v>364</v>
      </c>
      <c r="C64" s="166">
        <v>1543.16</v>
      </c>
      <c r="D64" s="166">
        <f>'POSEBNI DIO'!G541</f>
        <v>700</v>
      </c>
      <c r="E64" s="166">
        <f>'POSEBNI DIO'!H541</f>
        <v>464.38</v>
      </c>
      <c r="F64" s="167">
        <v>0</v>
      </c>
      <c r="G64" s="165" t="s">
        <v>253</v>
      </c>
    </row>
    <row r="65" spans="1:7" x14ac:dyDescent="0.25">
      <c r="A65" s="164">
        <v>4226</v>
      </c>
      <c r="B65" s="165" t="s">
        <v>365</v>
      </c>
      <c r="C65" s="166">
        <v>0</v>
      </c>
      <c r="D65" s="166">
        <f>'POSEBNI DIO'!G542</f>
        <v>800</v>
      </c>
      <c r="E65" s="166">
        <f>'POSEBNI DIO'!H542</f>
        <v>568.80999999999995</v>
      </c>
      <c r="G65" s="165" t="s">
        <v>253</v>
      </c>
    </row>
    <row r="66" spans="1:7" x14ac:dyDescent="0.25">
      <c r="A66" t="s">
        <v>169</v>
      </c>
      <c r="B66" s="165" t="s">
        <v>365</v>
      </c>
      <c r="C66" s="166">
        <v>2229.2199999999998</v>
      </c>
      <c r="D66" s="166">
        <f>'POSEBNI DIO'!G543</f>
        <v>1200</v>
      </c>
      <c r="E66" s="166">
        <f>'POSEBNI DIO'!H543</f>
        <v>0</v>
      </c>
      <c r="G66" s="165" t="s">
        <v>253</v>
      </c>
    </row>
    <row r="67" spans="1:7" s="155" customFormat="1" x14ac:dyDescent="0.25">
      <c r="A67" s="160" t="s">
        <v>366</v>
      </c>
      <c r="B67" s="161" t="s">
        <v>367</v>
      </c>
      <c r="C67" s="162">
        <f>SUM(C68)</f>
        <v>2307.29</v>
      </c>
      <c r="D67" s="162">
        <f>SUM(D68)</f>
        <v>4560</v>
      </c>
      <c r="E67" s="162">
        <f>SUM(E68)</f>
        <v>4324.8500000000004</v>
      </c>
      <c r="F67" s="163"/>
      <c r="G67" s="163">
        <f>E67/D67*100</f>
        <v>94.84</v>
      </c>
    </row>
    <row r="68" spans="1:7" x14ac:dyDescent="0.25">
      <c r="A68" t="s">
        <v>170</v>
      </c>
      <c r="B68" s="165" t="s">
        <v>368</v>
      </c>
      <c r="C68" s="166">
        <v>2307.29</v>
      </c>
      <c r="D68" s="166">
        <f>'POSEBNI DIO'!G544</f>
        <v>4560</v>
      </c>
      <c r="E68" s="166">
        <f>'POSEBNI DIO'!H544</f>
        <v>4324.8500000000004</v>
      </c>
      <c r="G68" s="165" t="s">
        <v>253</v>
      </c>
    </row>
    <row r="69" spans="1:7" s="155" customFormat="1" x14ac:dyDescent="0.25">
      <c r="A69" s="156" t="s">
        <v>369</v>
      </c>
      <c r="B69" s="157" t="s">
        <v>370</v>
      </c>
      <c r="C69" s="158">
        <f>C70</f>
        <v>11027.1</v>
      </c>
      <c r="D69" s="158">
        <f>D70</f>
        <v>0</v>
      </c>
      <c r="E69" s="158">
        <f>E70</f>
        <v>0</v>
      </c>
      <c r="F69" s="159"/>
      <c r="G69" s="159"/>
    </row>
    <row r="70" spans="1:7" s="155" customFormat="1" x14ac:dyDescent="0.25">
      <c r="A70" s="160" t="s">
        <v>371</v>
      </c>
      <c r="B70" s="161" t="s">
        <v>372</v>
      </c>
      <c r="C70" s="162">
        <f>SUM(C71)</f>
        <v>11027.1</v>
      </c>
      <c r="D70" s="162">
        <f>SUM(D71)</f>
        <v>0</v>
      </c>
      <c r="E70" s="162">
        <f>SUM(E71)</f>
        <v>0</v>
      </c>
      <c r="F70" s="163"/>
      <c r="G70" s="163"/>
    </row>
    <row r="71" spans="1:7" x14ac:dyDescent="0.25">
      <c r="A71" t="s">
        <v>192</v>
      </c>
      <c r="B71" s="165" t="s">
        <v>372</v>
      </c>
      <c r="C71" s="166">
        <v>11027.1</v>
      </c>
      <c r="D71" s="166">
        <f>'POSEBNI DIO'!G546</f>
        <v>0</v>
      </c>
      <c r="E71" s="166">
        <f>'POSEBNI DIO'!H546</f>
        <v>0</v>
      </c>
      <c r="G71" s="165" t="s">
        <v>253</v>
      </c>
    </row>
    <row r="73" spans="1:7" x14ac:dyDescent="0.25">
      <c r="A73" t="s">
        <v>217</v>
      </c>
      <c r="C73" t="s">
        <v>218</v>
      </c>
      <c r="E73" t="s">
        <v>219</v>
      </c>
    </row>
    <row r="74" spans="1:7" x14ac:dyDescent="0.25">
      <c r="A74" t="s">
        <v>432</v>
      </c>
      <c r="C74" t="s">
        <v>414</v>
      </c>
      <c r="E74" t="s">
        <v>222</v>
      </c>
    </row>
    <row r="75" spans="1:7" x14ac:dyDescent="0.25">
      <c r="A75" t="s">
        <v>431</v>
      </c>
    </row>
  </sheetData>
  <mergeCells count="2">
    <mergeCell ref="A1:G1"/>
    <mergeCell ref="A2:G2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view="pageBreakPreview" topLeftCell="A10" zoomScaleNormal="100" zoomScaleSheetLayoutView="100" workbookViewId="0">
      <selection activeCell="H40" sqref="H40:P43"/>
    </sheetView>
  </sheetViews>
  <sheetFormatPr defaultRowHeight="15" x14ac:dyDescent="0.25"/>
  <cols>
    <col min="1" max="1" width="5.42578125" bestFit="1" customWidth="1"/>
    <col min="2" max="2" width="27.28515625" customWidth="1"/>
    <col min="3" max="3" width="16.5703125" customWidth="1"/>
    <col min="4" max="4" width="15.7109375" customWidth="1"/>
    <col min="5" max="5" width="16.85546875" style="40" customWidth="1"/>
    <col min="6" max="6" width="13.140625" style="40" customWidth="1"/>
    <col min="7" max="7" width="12.28515625" style="40" customWidth="1"/>
    <col min="8" max="8" width="11.7109375" bestFit="1" customWidth="1"/>
    <col min="9" max="9" width="11.7109375" hidden="1" customWidth="1"/>
    <col min="10" max="10" width="10.85546875" hidden="1" customWidth="1"/>
    <col min="11" max="11" width="11.7109375" hidden="1" customWidth="1"/>
    <col min="12" max="12" width="0" hidden="1" customWidth="1"/>
    <col min="13" max="13" width="11.140625" hidden="1" customWidth="1"/>
    <col min="14" max="14" width="0" hidden="1" customWidth="1"/>
    <col min="15" max="15" width="11.140625" hidden="1" customWidth="1"/>
    <col min="16" max="16" width="14" customWidth="1"/>
    <col min="17" max="17" width="29" customWidth="1"/>
  </cols>
  <sheetData>
    <row r="1" spans="1:17" x14ac:dyDescent="0.25">
      <c r="A1" s="243" t="s">
        <v>434</v>
      </c>
      <c r="B1" s="243"/>
      <c r="C1" s="243"/>
      <c r="D1" s="243"/>
      <c r="E1" s="243"/>
      <c r="F1" s="243"/>
      <c r="G1" s="243"/>
      <c r="H1" s="177"/>
      <c r="P1">
        <v>7.5345000000000004</v>
      </c>
    </row>
    <row r="2" spans="1:17" ht="18" x14ac:dyDescent="0.25">
      <c r="A2" s="27"/>
      <c r="B2" s="42"/>
      <c r="C2" s="27"/>
      <c r="D2" s="42"/>
      <c r="E2" s="42"/>
      <c r="F2" s="43"/>
      <c r="G2" s="43"/>
      <c r="I2" t="s">
        <v>152</v>
      </c>
      <c r="K2" t="s">
        <v>153</v>
      </c>
      <c r="M2" t="s">
        <v>209</v>
      </c>
    </row>
    <row r="3" spans="1:17" ht="27.75" customHeight="1" x14ac:dyDescent="0.25">
      <c r="A3" s="244" t="s">
        <v>373</v>
      </c>
      <c r="B3" s="245"/>
      <c r="C3" s="90" t="s">
        <v>417</v>
      </c>
      <c r="D3" s="23" t="s">
        <v>404</v>
      </c>
      <c r="E3" s="90" t="s">
        <v>418</v>
      </c>
      <c r="F3" s="44" t="s">
        <v>374</v>
      </c>
      <c r="G3" s="44" t="s">
        <v>375</v>
      </c>
    </row>
    <row r="4" spans="1:17" x14ac:dyDescent="0.25">
      <c r="A4" s="246">
        <v>1</v>
      </c>
      <c r="B4" s="247"/>
      <c r="C4" s="178">
        <v>2</v>
      </c>
      <c r="D4" s="178">
        <v>3</v>
      </c>
      <c r="E4" s="178">
        <v>4</v>
      </c>
      <c r="F4" s="178">
        <v>5</v>
      </c>
      <c r="G4" s="178">
        <v>6</v>
      </c>
    </row>
    <row r="5" spans="1:17" x14ac:dyDescent="0.25">
      <c r="A5" s="179" t="s">
        <v>151</v>
      </c>
      <c r="B5" s="180" t="s">
        <v>130</v>
      </c>
      <c r="C5" s="181"/>
      <c r="D5" s="181"/>
      <c r="E5" s="181"/>
      <c r="F5" s="181"/>
      <c r="G5" s="181"/>
    </row>
    <row r="6" spans="1:17" s="52" customFormat="1" ht="15.75" customHeight="1" x14ac:dyDescent="0.25">
      <c r="A6" s="182"/>
      <c r="B6" s="183" t="s">
        <v>16</v>
      </c>
      <c r="C6" s="195">
        <v>236</v>
      </c>
      <c r="D6" s="195">
        <v>0</v>
      </c>
      <c r="E6" s="195">
        <v>232</v>
      </c>
      <c r="F6" s="184">
        <f>E6/C6*100</f>
        <v>98.31</v>
      </c>
      <c r="G6" s="184" t="e">
        <f>E6/D6*100</f>
        <v>#DIV/0!</v>
      </c>
      <c r="I6" s="134">
        <f>E6+E38</f>
        <v>647.86</v>
      </c>
      <c r="K6" s="134" t="e">
        <f>#REF!+#REF!</f>
        <v>#REF!</v>
      </c>
      <c r="M6" s="134" t="e">
        <f>K6-I6</f>
        <v>#REF!</v>
      </c>
    </row>
    <row r="7" spans="1:17" s="52" customFormat="1" ht="15.75" customHeight="1" x14ac:dyDescent="0.25">
      <c r="A7" s="182"/>
      <c r="B7" s="183" t="s">
        <v>19</v>
      </c>
      <c r="C7" s="184">
        <f>'POSEBNI DIO'!F469</f>
        <v>537.92999999999995</v>
      </c>
      <c r="D7" s="196">
        <v>0</v>
      </c>
      <c r="E7" s="184">
        <f>'POSEBNI DIO'!H469</f>
        <v>232</v>
      </c>
      <c r="F7" s="184">
        <f>E7/C7*100</f>
        <v>43.13</v>
      </c>
      <c r="G7" s="184" t="e">
        <f>E7/D7*100</f>
        <v>#DIV/0!</v>
      </c>
      <c r="I7" s="134"/>
      <c r="P7" s="134" t="e">
        <f>#REF!+E10+E14+E18</f>
        <v>#REF!</v>
      </c>
      <c r="Q7" s="134" t="e">
        <f>83115.28-P7</f>
        <v>#REF!</v>
      </c>
    </row>
    <row r="8" spans="1:17" s="52" customFormat="1" ht="15.75" customHeight="1" x14ac:dyDescent="0.25">
      <c r="A8" s="182"/>
      <c r="B8" s="183" t="s">
        <v>376</v>
      </c>
      <c r="C8" s="184">
        <f>C6-C7</f>
        <v>-301.93</v>
      </c>
      <c r="D8" s="184">
        <f t="shared" ref="D8:E8" si="0">D6-D7</f>
        <v>0</v>
      </c>
      <c r="E8" s="184">
        <f t="shared" si="0"/>
        <v>0</v>
      </c>
      <c r="F8" s="184"/>
      <c r="G8" s="184"/>
      <c r="I8" s="134"/>
      <c r="P8" s="134" t="e">
        <f>E11+E15+#REF!+E19</f>
        <v>#REF!</v>
      </c>
      <c r="Q8" s="134" t="e">
        <f>90814.52-P8</f>
        <v>#REF!</v>
      </c>
    </row>
    <row r="9" spans="1:17" x14ac:dyDescent="0.25">
      <c r="A9" s="179" t="s">
        <v>44</v>
      </c>
      <c r="B9" s="180" t="s">
        <v>17</v>
      </c>
      <c r="C9" s="181"/>
      <c r="D9" s="181"/>
      <c r="E9" s="181"/>
      <c r="F9" s="181"/>
      <c r="G9" s="181"/>
    </row>
    <row r="10" spans="1:17" s="52" customFormat="1" ht="15.75" customHeight="1" x14ac:dyDescent="0.25">
      <c r="A10" s="182"/>
      <c r="B10" s="183" t="s">
        <v>16</v>
      </c>
      <c r="C10" s="195">
        <f>'POSEBNI DIO'!F471-'POSEBNI DIO'!F80+666</f>
        <v>126566.36</v>
      </c>
      <c r="D10" s="195">
        <f>91271.7-42551.51</f>
        <v>48720.19</v>
      </c>
      <c r="E10" s="184">
        <f>153900.75-61266.11-232</f>
        <v>92402.64</v>
      </c>
      <c r="F10" s="184">
        <f>E10/C10*100</f>
        <v>73.010000000000005</v>
      </c>
      <c r="G10" s="184">
        <f t="shared" ref="G10:G11" si="1">E10/D10*100</f>
        <v>189.66</v>
      </c>
      <c r="I10" s="134" t="e">
        <f>E10+#REF!</f>
        <v>#REF!</v>
      </c>
      <c r="K10" s="134" t="e">
        <f>E45+#REF!</f>
        <v>#REF!</v>
      </c>
      <c r="M10" s="134" t="e">
        <f>K10-I10</f>
        <v>#REF!</v>
      </c>
    </row>
    <row r="11" spans="1:17" s="52" customFormat="1" ht="15.75" customHeight="1" x14ac:dyDescent="0.25">
      <c r="A11" s="182"/>
      <c r="B11" s="183" t="s">
        <v>19</v>
      </c>
      <c r="C11" s="184">
        <f>'POSEBNI DIO'!F471</f>
        <v>126605.65</v>
      </c>
      <c r="D11" s="184">
        <f>'POSEBNI DIO'!G471</f>
        <v>48720.19</v>
      </c>
      <c r="E11" s="184">
        <f>'POSEBNI DIO'!H471</f>
        <v>92115.13</v>
      </c>
      <c r="F11" s="184">
        <f>E11/C11*100</f>
        <v>72.760000000000005</v>
      </c>
      <c r="G11" s="184">
        <f t="shared" si="1"/>
        <v>189.07</v>
      </c>
      <c r="I11" s="134"/>
    </row>
    <row r="12" spans="1:17" s="52" customFormat="1" ht="15.75" customHeight="1" x14ac:dyDescent="0.25">
      <c r="A12" s="182"/>
      <c r="B12" s="183" t="s">
        <v>376</v>
      </c>
      <c r="C12" s="184">
        <f>C10-C11</f>
        <v>-39.29</v>
      </c>
      <c r="D12" s="184">
        <f t="shared" ref="D12:E12" si="2">D10-D11</f>
        <v>0</v>
      </c>
      <c r="E12" s="184">
        <f t="shared" si="2"/>
        <v>287.51</v>
      </c>
      <c r="F12" s="184"/>
      <c r="G12" s="184"/>
      <c r="I12" s="134"/>
    </row>
    <row r="13" spans="1:17" s="186" customFormat="1" x14ac:dyDescent="0.25">
      <c r="A13" s="179" t="s">
        <v>146</v>
      </c>
      <c r="B13" s="180" t="s">
        <v>147</v>
      </c>
      <c r="C13" s="185"/>
      <c r="D13" s="181"/>
      <c r="E13" s="181"/>
      <c r="F13" s="181"/>
      <c r="G13" s="181"/>
      <c r="I13" s="187"/>
    </row>
    <row r="14" spans="1:17" s="188" customFormat="1" ht="15.75" customHeight="1" x14ac:dyDescent="0.25">
      <c r="A14" s="182"/>
      <c r="B14" s="183" t="s">
        <v>16</v>
      </c>
      <c r="C14" s="184">
        <f>'POSEBNI DIO'!F470</f>
        <v>56996</v>
      </c>
      <c r="D14" s="184">
        <v>61843</v>
      </c>
      <c r="E14" s="184">
        <v>61653.32</v>
      </c>
      <c r="F14" s="184">
        <f>E14/C14*100</f>
        <v>108.17</v>
      </c>
      <c r="G14" s="184">
        <f>E14/D14*100</f>
        <v>99.69</v>
      </c>
      <c r="I14" s="189"/>
      <c r="K14" s="189"/>
      <c r="M14" s="189"/>
    </row>
    <row r="15" spans="1:17" s="188" customFormat="1" ht="15.75" customHeight="1" x14ac:dyDescent="0.25">
      <c r="A15" s="182"/>
      <c r="B15" s="183" t="s">
        <v>19</v>
      </c>
      <c r="C15" s="184">
        <f>'POSEBNI DIO'!F470</f>
        <v>56996</v>
      </c>
      <c r="D15" s="184">
        <f>'POSEBNI DIO'!G470</f>
        <v>61843</v>
      </c>
      <c r="E15" s="184">
        <f>'POSEBNI DIO'!H470</f>
        <v>61653.32</v>
      </c>
      <c r="F15" s="184">
        <f>E15/C15*100</f>
        <v>108.17</v>
      </c>
      <c r="G15" s="184">
        <f>E15/D15*100</f>
        <v>99.69</v>
      </c>
      <c r="I15" s="189"/>
    </row>
    <row r="16" spans="1:17" s="188" customFormat="1" ht="15.75" customHeight="1" x14ac:dyDescent="0.25">
      <c r="A16" s="182"/>
      <c r="B16" s="183" t="s">
        <v>376</v>
      </c>
      <c r="C16" s="184">
        <f>C14-C15</f>
        <v>0</v>
      </c>
      <c r="D16" s="184">
        <f t="shared" ref="D16:E16" si="3">D14-D15</f>
        <v>0</v>
      </c>
      <c r="E16" s="184">
        <f t="shared" si="3"/>
        <v>0</v>
      </c>
      <c r="F16" s="184"/>
      <c r="G16" s="184"/>
      <c r="H16" s="40"/>
      <c r="I16" s="189"/>
    </row>
    <row r="17" spans="1:13" ht="25.5" x14ac:dyDescent="0.25">
      <c r="A17" s="179" t="s">
        <v>193</v>
      </c>
      <c r="B17" s="180" t="s">
        <v>122</v>
      </c>
      <c r="C17" s="181"/>
      <c r="D17" s="181"/>
      <c r="E17" s="181"/>
      <c r="F17" s="181"/>
      <c r="G17" s="181"/>
      <c r="H17" s="40"/>
    </row>
    <row r="18" spans="1:13" s="52" customFormat="1" ht="15.75" customHeight="1" x14ac:dyDescent="0.25">
      <c r="A18" s="182"/>
      <c r="B18" s="183" t="s">
        <v>16</v>
      </c>
      <c r="C18" s="184">
        <v>54973.120000000003</v>
      </c>
      <c r="D18" s="195"/>
      <c r="E18" s="195"/>
      <c r="F18" s="184">
        <f>E18/C18*100</f>
        <v>0</v>
      </c>
      <c r="G18" s="184" t="e">
        <f t="shared" ref="G18:G19" si="4">E18/D18*100</f>
        <v>#DIV/0!</v>
      </c>
      <c r="H18" s="40"/>
      <c r="I18" s="134"/>
      <c r="K18" s="134"/>
      <c r="M18" s="134"/>
    </row>
    <row r="19" spans="1:13" s="52" customFormat="1" ht="15.75" customHeight="1" x14ac:dyDescent="0.25">
      <c r="A19" s="182"/>
      <c r="B19" s="183" t="s">
        <v>19</v>
      </c>
      <c r="C19" s="184">
        <v>54973.120000000003</v>
      </c>
      <c r="D19" s="184">
        <f>'POSEBNI DIO'!G472</f>
        <v>0</v>
      </c>
      <c r="E19" s="184">
        <f>'POSEBNI DIO'!H472</f>
        <v>0</v>
      </c>
      <c r="F19" s="184">
        <f>E19/C19*100</f>
        <v>0</v>
      </c>
      <c r="G19" s="184" t="e">
        <f t="shared" si="4"/>
        <v>#DIV/0!</v>
      </c>
      <c r="I19" s="134"/>
    </row>
    <row r="20" spans="1:13" s="52" customFormat="1" ht="15.75" customHeight="1" x14ac:dyDescent="0.25">
      <c r="A20" s="182"/>
      <c r="B20" s="183" t="s">
        <v>376</v>
      </c>
      <c r="C20" s="184">
        <f>C18-C19</f>
        <v>0</v>
      </c>
      <c r="D20" s="184">
        <f t="shared" ref="D20" si="5">D18-D19</f>
        <v>0</v>
      </c>
      <c r="E20" s="184">
        <f>E18-E19</f>
        <v>0</v>
      </c>
      <c r="F20" s="184"/>
      <c r="G20" s="184"/>
      <c r="I20" s="134"/>
    </row>
    <row r="21" spans="1:13" ht="25.5" x14ac:dyDescent="0.25">
      <c r="A21" s="179" t="s">
        <v>413</v>
      </c>
      <c r="B21" s="180" t="s">
        <v>122</v>
      </c>
      <c r="C21" s="181"/>
      <c r="D21" s="181"/>
      <c r="E21" s="181"/>
      <c r="F21" s="181"/>
      <c r="G21" s="181"/>
      <c r="H21" s="40"/>
    </row>
    <row r="22" spans="1:13" s="52" customFormat="1" ht="15.75" customHeight="1" x14ac:dyDescent="0.25">
      <c r="A22" s="182"/>
      <c r="B22" s="183" t="s">
        <v>16</v>
      </c>
      <c r="C22" s="184">
        <v>0</v>
      </c>
      <c r="D22" s="195">
        <v>42551.51</v>
      </c>
      <c r="E22" s="195">
        <v>61266.11</v>
      </c>
      <c r="F22" s="184" t="e">
        <f>E22/C22*100</f>
        <v>#DIV/0!</v>
      </c>
      <c r="G22" s="184">
        <f t="shared" ref="G22:G23" si="6">E22/D22*100</f>
        <v>143.97999999999999</v>
      </c>
      <c r="H22" s="40"/>
      <c r="I22" s="134"/>
      <c r="K22" s="134"/>
      <c r="M22" s="134"/>
    </row>
    <row r="23" spans="1:13" s="52" customFormat="1" ht="15.75" customHeight="1" x14ac:dyDescent="0.25">
      <c r="A23" s="182"/>
      <c r="B23" s="183" t="s">
        <v>19</v>
      </c>
      <c r="C23" s="184">
        <v>0</v>
      </c>
      <c r="D23" s="184">
        <f>'POSEBNI DIO'!G473</f>
        <v>42551.51</v>
      </c>
      <c r="E23" s="184">
        <f>'POSEBNI DIO'!H473</f>
        <v>61266.11</v>
      </c>
      <c r="F23" s="184" t="e">
        <f>E23/C23*100</f>
        <v>#DIV/0!</v>
      </c>
      <c r="G23" s="184">
        <f t="shared" si="6"/>
        <v>143.97999999999999</v>
      </c>
      <c r="I23" s="134"/>
    </row>
    <row r="24" spans="1:13" s="52" customFormat="1" ht="15.75" customHeight="1" x14ac:dyDescent="0.25">
      <c r="A24" s="182"/>
      <c r="B24" s="183" t="s">
        <v>376</v>
      </c>
      <c r="C24" s="184">
        <f>C22-C23</f>
        <v>0</v>
      </c>
      <c r="D24" s="184">
        <f>D22-D23</f>
        <v>0</v>
      </c>
      <c r="E24" s="184">
        <f>E22-E23</f>
        <v>0</v>
      </c>
      <c r="F24" s="184"/>
      <c r="G24" s="184"/>
      <c r="I24" s="134"/>
    </row>
    <row r="25" spans="1:13" x14ac:dyDescent="0.25">
      <c r="A25" s="190" t="s">
        <v>45</v>
      </c>
      <c r="B25" s="190" t="s">
        <v>36</v>
      </c>
      <c r="C25" s="191"/>
      <c r="D25" s="192"/>
      <c r="E25" s="192"/>
      <c r="F25" s="192"/>
      <c r="G25" s="192"/>
    </row>
    <row r="26" spans="1:13" s="52" customFormat="1" ht="15.75" customHeight="1" x14ac:dyDescent="0.25">
      <c r="A26" s="182"/>
      <c r="B26" s="183" t="s">
        <v>16</v>
      </c>
      <c r="C26" s="184">
        <v>2511.9899999999998</v>
      </c>
      <c r="D26" s="195">
        <v>5211.26</v>
      </c>
      <c r="E26" s="184">
        <v>8.31</v>
      </c>
      <c r="F26" s="184">
        <f>E26/C26*100</f>
        <v>0.33</v>
      </c>
      <c r="G26" s="184">
        <f t="shared" ref="G26:G27" si="7">E26/D26*100</f>
        <v>0.16</v>
      </c>
      <c r="I26" s="134"/>
      <c r="K26" s="134"/>
      <c r="M26" s="134"/>
    </row>
    <row r="27" spans="1:13" s="52" customFormat="1" ht="15.75" customHeight="1" x14ac:dyDescent="0.25">
      <c r="A27" s="182"/>
      <c r="B27" s="183" t="s">
        <v>19</v>
      </c>
      <c r="C27" s="184">
        <f>'POSEBNI DIO'!F474</f>
        <v>4042.58</v>
      </c>
      <c r="D27" s="184">
        <f>'POSEBNI DIO'!G474</f>
        <v>5211.26</v>
      </c>
      <c r="E27" s="184">
        <f>'POSEBNI DIO'!H474</f>
        <v>341.34</v>
      </c>
      <c r="F27" s="184">
        <f>E27/C27*100</f>
        <v>8.44</v>
      </c>
      <c r="G27" s="184">
        <f t="shared" si="7"/>
        <v>6.55</v>
      </c>
      <c r="I27" s="134"/>
    </row>
    <row r="28" spans="1:13" s="52" customFormat="1" ht="15.75" customHeight="1" x14ac:dyDescent="0.25">
      <c r="A28" s="182"/>
      <c r="B28" s="183" t="s">
        <v>376</v>
      </c>
      <c r="C28" s="184">
        <f>C26-C27</f>
        <v>-1530.59</v>
      </c>
      <c r="D28" s="184">
        <f t="shared" ref="D28" si="8">D26-D27</f>
        <v>0</v>
      </c>
      <c r="E28" s="184">
        <f>E26-E27</f>
        <v>-333.03</v>
      </c>
      <c r="F28" s="184"/>
      <c r="G28" s="184"/>
      <c r="I28" s="134"/>
    </row>
    <row r="29" spans="1:13" x14ac:dyDescent="0.25">
      <c r="A29" s="190" t="s">
        <v>148</v>
      </c>
      <c r="B29" s="190" t="s">
        <v>41</v>
      </c>
      <c r="C29" s="191"/>
      <c r="D29" s="192"/>
      <c r="E29" s="192"/>
      <c r="F29" s="192"/>
      <c r="G29" s="192"/>
    </row>
    <row r="30" spans="1:13" s="188" customFormat="1" ht="15.75" customHeight="1" x14ac:dyDescent="0.25">
      <c r="A30" s="182"/>
      <c r="B30" s="183" t="s">
        <v>16</v>
      </c>
      <c r="C30" s="184">
        <v>23453.64</v>
      </c>
      <c r="D30" s="195">
        <v>46610</v>
      </c>
      <c r="E30" s="184">
        <v>30315.200000000001</v>
      </c>
      <c r="F30" s="184">
        <f>E30/C30*100</f>
        <v>129.26</v>
      </c>
      <c r="G30" s="184">
        <f t="shared" ref="G30:G31" si="9">E30/D30*100</f>
        <v>65.040000000000006</v>
      </c>
      <c r="I30" s="189"/>
      <c r="K30" s="189"/>
      <c r="M30" s="189"/>
    </row>
    <row r="31" spans="1:13" s="188" customFormat="1" ht="15.75" customHeight="1" x14ac:dyDescent="0.25">
      <c r="A31" s="182"/>
      <c r="B31" s="183" t="s">
        <v>19</v>
      </c>
      <c r="C31" s="184">
        <f>'POSEBNI DIO'!F476</f>
        <v>19384.53</v>
      </c>
      <c r="D31" s="184">
        <f>'POSEBNI DIO'!G476</f>
        <v>46610</v>
      </c>
      <c r="E31" s="184">
        <f>'POSEBNI DIO'!H476</f>
        <v>32089.25</v>
      </c>
      <c r="F31" s="184">
        <f>E31/C31*100</f>
        <v>165.54</v>
      </c>
      <c r="G31" s="184">
        <f t="shared" si="9"/>
        <v>68.849999999999994</v>
      </c>
      <c r="I31" s="189"/>
    </row>
    <row r="32" spans="1:13" s="188" customFormat="1" ht="15.75" customHeight="1" x14ac:dyDescent="0.25">
      <c r="A32" s="182"/>
      <c r="B32" s="183" t="s">
        <v>376</v>
      </c>
      <c r="C32" s="184">
        <f>C30-C31</f>
        <v>4069.11</v>
      </c>
      <c r="D32" s="184">
        <f t="shared" ref="D32:E32" si="10">D30-D31</f>
        <v>0</v>
      </c>
      <c r="E32" s="184">
        <f t="shared" si="10"/>
        <v>-1774.05</v>
      </c>
      <c r="F32" s="184"/>
      <c r="G32" s="184"/>
      <c r="I32" s="189"/>
    </row>
    <row r="33" spans="1:13" x14ac:dyDescent="0.25">
      <c r="A33" s="190" t="s">
        <v>46</v>
      </c>
      <c r="B33" s="190" t="s">
        <v>136</v>
      </c>
      <c r="C33" s="191"/>
      <c r="D33" s="192"/>
      <c r="E33" s="192"/>
      <c r="F33" s="192"/>
      <c r="G33" s="192"/>
    </row>
    <row r="34" spans="1:13" s="188" customFormat="1" ht="15.75" customHeight="1" x14ac:dyDescent="0.25">
      <c r="A34" s="182"/>
      <c r="B34" s="183" t="s">
        <v>16</v>
      </c>
      <c r="C34" s="184">
        <v>1678498.72</v>
      </c>
      <c r="D34" s="195">
        <v>1834851.33</v>
      </c>
      <c r="E34" s="184">
        <v>1895972.16</v>
      </c>
      <c r="F34" s="184">
        <f>E34/C34*100</f>
        <v>112.96</v>
      </c>
      <c r="G34" s="184">
        <f t="shared" ref="G34:G35" si="11">E34/D34*100</f>
        <v>103.33</v>
      </c>
      <c r="I34" s="189"/>
      <c r="K34" s="189"/>
      <c r="M34" s="189"/>
    </row>
    <row r="35" spans="1:13" s="188" customFormat="1" ht="15.75" customHeight="1" x14ac:dyDescent="0.25">
      <c r="A35" s="182"/>
      <c r="B35" s="183" t="s">
        <v>19</v>
      </c>
      <c r="C35" s="184">
        <f>'POSEBNI DIO'!F477</f>
        <v>1678017.24</v>
      </c>
      <c r="D35" s="184">
        <f>'POSEBNI DIO'!G477</f>
        <v>1834851.33</v>
      </c>
      <c r="E35" s="184">
        <f>'POSEBNI DIO'!H477</f>
        <v>2038015.27</v>
      </c>
      <c r="F35" s="184">
        <f>E35/C35*100</f>
        <v>121.45</v>
      </c>
      <c r="G35" s="184">
        <f t="shared" si="11"/>
        <v>111.07</v>
      </c>
      <c r="I35" s="189"/>
    </row>
    <row r="36" spans="1:13" s="188" customFormat="1" ht="15.75" customHeight="1" x14ac:dyDescent="0.25">
      <c r="A36" s="182"/>
      <c r="B36" s="183" t="s">
        <v>376</v>
      </c>
      <c r="C36" s="184">
        <f>C34-C35</f>
        <v>481.48</v>
      </c>
      <c r="D36" s="184">
        <f t="shared" ref="D36" si="12">D34-D35</f>
        <v>0</v>
      </c>
      <c r="E36" s="184">
        <f>E34-E35</f>
        <v>-142043.10999999999</v>
      </c>
      <c r="F36" s="184"/>
      <c r="G36" s="184"/>
      <c r="I36" s="189"/>
    </row>
    <row r="37" spans="1:13" x14ac:dyDescent="0.25">
      <c r="A37" s="190" t="s">
        <v>194</v>
      </c>
      <c r="B37" s="190" t="s">
        <v>137</v>
      </c>
      <c r="C37" s="191"/>
      <c r="D37" s="192"/>
      <c r="E37" s="192"/>
      <c r="F37" s="192"/>
      <c r="G37" s="192"/>
    </row>
    <row r="38" spans="1:13" s="188" customFormat="1" ht="15.75" customHeight="1" x14ac:dyDescent="0.25">
      <c r="A38" s="182"/>
      <c r="B38" s="183" t="s">
        <v>16</v>
      </c>
      <c r="C38" s="184">
        <v>5534.56</v>
      </c>
      <c r="D38" s="195">
        <v>1500</v>
      </c>
      <c r="E38" s="184">
        <v>415.86</v>
      </c>
      <c r="F38" s="184">
        <f>E38/C38*100</f>
        <v>7.51</v>
      </c>
      <c r="G38" s="184">
        <f t="shared" ref="G38:G39" si="13">E38/D38*100</f>
        <v>27.72</v>
      </c>
      <c r="I38" s="189"/>
      <c r="K38" s="189"/>
      <c r="M38" s="189"/>
    </row>
    <row r="39" spans="1:13" s="188" customFormat="1" ht="15.75" customHeight="1" x14ac:dyDescent="0.25">
      <c r="A39" s="182"/>
      <c r="B39" s="183" t="s">
        <v>19</v>
      </c>
      <c r="C39" s="184">
        <f>'POSEBNI DIO'!F478</f>
        <v>5834.56</v>
      </c>
      <c r="D39" s="184">
        <f>'POSEBNI DIO'!G478</f>
        <v>1500</v>
      </c>
      <c r="E39" s="184">
        <f>'POSEBNI DIO'!H478</f>
        <v>360</v>
      </c>
      <c r="F39" s="184">
        <f>E39/C39*100</f>
        <v>6.17</v>
      </c>
      <c r="G39" s="184">
        <f t="shared" si="13"/>
        <v>24</v>
      </c>
      <c r="I39" s="189"/>
    </row>
    <row r="40" spans="1:13" s="188" customFormat="1" ht="15.75" customHeight="1" x14ac:dyDescent="0.25">
      <c r="A40" s="182"/>
      <c r="B40" s="183" t="s">
        <v>376</v>
      </c>
      <c r="C40" s="184">
        <f>C38-C39</f>
        <v>-300</v>
      </c>
      <c r="D40" s="184">
        <f t="shared" ref="D40" si="14">D38-D39</f>
        <v>0</v>
      </c>
      <c r="E40" s="184">
        <f>E38-E39</f>
        <v>55.86</v>
      </c>
      <c r="F40" s="184"/>
      <c r="G40" s="184"/>
      <c r="I40" s="189"/>
    </row>
    <row r="41" spans="1:13" s="188" customFormat="1" ht="15.75" customHeight="1" x14ac:dyDescent="0.25">
      <c r="A41" s="193"/>
      <c r="B41" s="193" t="s">
        <v>377</v>
      </c>
      <c r="C41" s="194">
        <f t="shared" ref="C41:D41" si="15">C6+C10+C14+C18+C26+C30+C34+C38+C22</f>
        <v>1948770.39</v>
      </c>
      <c r="D41" s="194">
        <f t="shared" si="15"/>
        <v>2041287.29</v>
      </c>
      <c r="E41" s="194">
        <f>E6+E10+E14+E18+E26+E30+E34+E38+E22</f>
        <v>2142265.6</v>
      </c>
      <c r="F41" s="194"/>
      <c r="G41" s="194"/>
      <c r="H41" s="189"/>
      <c r="I41" s="189"/>
      <c r="K41" s="189"/>
      <c r="M41" s="189"/>
    </row>
    <row r="42" spans="1:13" s="188" customFormat="1" ht="15.75" customHeight="1" x14ac:dyDescent="0.25">
      <c r="A42" s="193"/>
      <c r="B42" s="193" t="s">
        <v>378</v>
      </c>
      <c r="C42" s="194">
        <f t="shared" ref="C42:D42" si="16">C7+C11+C15+C19+C23+C27++C31+C35+C39</f>
        <v>1946391.61</v>
      </c>
      <c r="D42" s="194">
        <f t="shared" si="16"/>
        <v>2041287.29</v>
      </c>
      <c r="E42" s="194">
        <f>E7+E11+E15+E19+E23+E27++E31+E35+E39</f>
        <v>2286072.42</v>
      </c>
      <c r="F42" s="194"/>
      <c r="G42" s="194"/>
      <c r="H42" s="189"/>
      <c r="I42" s="189"/>
    </row>
    <row r="43" spans="1:13" s="188" customFormat="1" ht="28.5" customHeight="1" x14ac:dyDescent="0.25">
      <c r="A43" s="193"/>
      <c r="B43" s="193" t="s">
        <v>379</v>
      </c>
      <c r="C43" s="194">
        <f>C41-C42</f>
        <v>2378.7800000000002</v>
      </c>
      <c r="D43" s="194">
        <f t="shared" ref="D43" si="17">D41-D42</f>
        <v>0</v>
      </c>
      <c r="E43" s="194">
        <f>E41-E42</f>
        <v>-143806.82</v>
      </c>
      <c r="F43" s="194"/>
      <c r="G43" s="194"/>
      <c r="I43" s="189"/>
    </row>
    <row r="45" spans="1:13" ht="15.75" x14ac:dyDescent="0.25">
      <c r="A45" s="248"/>
      <c r="B45" s="248"/>
      <c r="C45" s="248"/>
      <c r="D45" s="248"/>
      <c r="E45" s="248"/>
      <c r="F45" s="248"/>
      <c r="G45" s="248"/>
    </row>
    <row r="46" spans="1:13" ht="18" x14ac:dyDescent="0.25">
      <c r="A46" s="27"/>
      <c r="B46" s="27"/>
      <c r="C46" s="27"/>
      <c r="D46" s="27"/>
      <c r="E46" s="42"/>
      <c r="F46" s="43"/>
      <c r="G46" s="43"/>
    </row>
    <row r="48" spans="1:13" x14ac:dyDescent="0.25">
      <c r="A48" t="s">
        <v>217</v>
      </c>
      <c r="C48" t="s">
        <v>218</v>
      </c>
      <c r="F48" s="40" t="s">
        <v>219</v>
      </c>
    </row>
    <row r="49" spans="1:6" x14ac:dyDescent="0.25">
      <c r="A49" t="s">
        <v>220</v>
      </c>
      <c r="C49" t="s">
        <v>221</v>
      </c>
      <c r="F49" t="s">
        <v>222</v>
      </c>
    </row>
    <row r="50" spans="1:6" x14ac:dyDescent="0.25">
      <c r="A50" t="s">
        <v>416</v>
      </c>
    </row>
    <row r="51" spans="1:6" x14ac:dyDescent="0.25">
      <c r="C51" s="40"/>
    </row>
    <row r="52" spans="1:6" x14ac:dyDescent="0.25">
      <c r="C52" s="40"/>
    </row>
  </sheetData>
  <mergeCells count="4">
    <mergeCell ref="A1:G1"/>
    <mergeCell ref="A3:B3"/>
    <mergeCell ref="A4:B4"/>
    <mergeCell ref="A45:G45"/>
  </mergeCells>
  <pageMargins left="0.7" right="0.7" top="0.75" bottom="0.75" header="0.3" footer="0.3"/>
  <pageSetup paperSize="9" scale="81" orientation="portrait" r:id="rId1"/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65"/>
  <sheetViews>
    <sheetView tabSelected="1" view="pageBreakPreview" zoomScaleNormal="100" zoomScaleSheetLayoutView="100" workbookViewId="0">
      <pane ySplit="5" topLeftCell="A6" activePane="bottomLeft" state="frozen"/>
      <selection pane="bottomLeft" activeCell="G593" sqref="G593"/>
    </sheetView>
  </sheetViews>
  <sheetFormatPr defaultRowHeight="15" x14ac:dyDescent="0.25"/>
  <cols>
    <col min="1" max="1" width="7.42578125" style="67" customWidth="1"/>
    <col min="2" max="2" width="8.42578125" style="67" customWidth="1"/>
    <col min="3" max="3" width="4.85546875" style="67" customWidth="1"/>
    <col min="4" max="4" width="34.28515625" style="67" customWidth="1"/>
    <col min="5" max="5" width="23.42578125" style="108" hidden="1" customWidth="1"/>
    <col min="6" max="6" width="19.85546875" style="127" customWidth="1"/>
    <col min="7" max="7" width="19.140625" style="67" customWidth="1"/>
    <col min="8" max="8" width="19.28515625" style="127" customWidth="1"/>
    <col min="9" max="9" width="10" style="67" customWidth="1"/>
    <col min="10" max="10" width="16" hidden="1" customWidth="1"/>
    <col min="11" max="11" width="11.7109375" hidden="1" customWidth="1"/>
    <col min="12" max="12" width="14.7109375" hidden="1" customWidth="1"/>
    <col min="13" max="13" width="14.85546875" customWidth="1"/>
    <col min="14" max="15" width="9.140625" customWidth="1"/>
  </cols>
  <sheetData>
    <row r="1" spans="1:17" ht="42" customHeight="1" x14ac:dyDescent="0.25">
      <c r="A1" s="279" t="s">
        <v>439</v>
      </c>
      <c r="B1" s="279"/>
      <c r="C1" s="279"/>
      <c r="D1" s="279"/>
      <c r="E1" s="279"/>
      <c r="F1" s="279"/>
      <c r="G1" s="279"/>
      <c r="H1" s="279"/>
      <c r="I1" s="279"/>
      <c r="J1" s="205" t="s">
        <v>407</v>
      </c>
      <c r="K1" s="39"/>
    </row>
    <row r="2" spans="1:17" ht="18" x14ac:dyDescent="0.25">
      <c r="A2" s="56"/>
      <c r="B2" s="56"/>
      <c r="C2" s="56"/>
      <c r="D2" s="56"/>
      <c r="E2" s="111"/>
      <c r="F2" s="200">
        <v>1946391.61</v>
      </c>
      <c r="G2" s="200">
        <v>2041287.29</v>
      </c>
      <c r="H2" s="200">
        <v>2286072.42</v>
      </c>
      <c r="I2" s="57"/>
      <c r="J2" s="205" t="s">
        <v>408</v>
      </c>
    </row>
    <row r="3" spans="1:17" ht="18" customHeight="1" x14ac:dyDescent="0.25">
      <c r="A3" s="279" t="s">
        <v>28</v>
      </c>
      <c r="B3" s="280"/>
      <c r="C3" s="280"/>
      <c r="D3" s="280"/>
      <c r="E3" s="280"/>
      <c r="F3" s="280"/>
      <c r="G3" s="280"/>
      <c r="H3" s="280"/>
      <c r="I3" s="280"/>
      <c r="K3" s="40"/>
    </row>
    <row r="4" spans="1:17" ht="18" x14ac:dyDescent="0.25">
      <c r="A4" s="56"/>
      <c r="B4" s="56"/>
      <c r="C4" s="56"/>
      <c r="D4" s="58" t="s">
        <v>208</v>
      </c>
      <c r="E4" s="111" t="e">
        <f>E6+E20+E38+E79+E192+E218+E230</f>
        <v>#DIV/0!</v>
      </c>
      <c r="F4" s="59">
        <f>F6+F20+F38+F79+F192+F218+F230+F13</f>
        <v>1946391.61</v>
      </c>
      <c r="G4" s="59">
        <f>G6+G20+G38+G79+G192+G218+G230</f>
        <v>2041287.29</v>
      </c>
      <c r="H4" s="59">
        <f>H6+H20+H38+H79+H192+H218+H230</f>
        <v>2286072.42</v>
      </c>
      <c r="I4" s="59" t="e">
        <f>I6+I20+I38+I79+I192+I218+I230</f>
        <v>#DIV/0!</v>
      </c>
      <c r="K4" s="40"/>
    </row>
    <row r="5" spans="1:17" ht="25.5" x14ac:dyDescent="0.25">
      <c r="A5" s="281" t="s">
        <v>30</v>
      </c>
      <c r="B5" s="282"/>
      <c r="C5" s="283"/>
      <c r="D5" s="60" t="s">
        <v>31</v>
      </c>
      <c r="E5" s="112" t="s">
        <v>223</v>
      </c>
      <c r="F5" s="90" t="s">
        <v>417</v>
      </c>
      <c r="G5" s="90" t="s">
        <v>399</v>
      </c>
      <c r="H5" s="90" t="s">
        <v>418</v>
      </c>
      <c r="I5" s="23" t="s">
        <v>388</v>
      </c>
      <c r="J5" s="139" t="s">
        <v>240</v>
      </c>
      <c r="K5" s="40"/>
      <c r="N5" s="52"/>
    </row>
    <row r="6" spans="1:17" ht="24" customHeight="1" x14ac:dyDescent="0.25">
      <c r="A6" s="284" t="s">
        <v>114</v>
      </c>
      <c r="B6" s="285"/>
      <c r="C6" s="286"/>
      <c r="D6" s="91" t="s">
        <v>126</v>
      </c>
      <c r="E6" s="113" t="e">
        <f>E7</f>
        <v>#DIV/0!</v>
      </c>
      <c r="F6" s="71">
        <f t="shared" ref="F6:H6" si="0">F7</f>
        <v>537.92999999999995</v>
      </c>
      <c r="G6" s="71">
        <f t="shared" si="0"/>
        <v>0</v>
      </c>
      <c r="H6" s="71">
        <f t="shared" si="0"/>
        <v>232</v>
      </c>
      <c r="I6" s="71" t="e">
        <f t="shared" ref="I6:I10" si="1">H6/G6*100</f>
        <v>#DIV/0!</v>
      </c>
      <c r="L6" s="52"/>
      <c r="M6" s="52"/>
      <c r="N6" s="52"/>
      <c r="O6" s="52"/>
      <c r="P6" s="52"/>
      <c r="Q6" s="52"/>
    </row>
    <row r="7" spans="1:17" ht="30" customHeight="1" x14ac:dyDescent="0.25">
      <c r="A7" s="267" t="s">
        <v>127</v>
      </c>
      <c r="B7" s="268"/>
      <c r="C7" s="269"/>
      <c r="D7" s="92" t="s">
        <v>128</v>
      </c>
      <c r="E7" s="114" t="e">
        <f>E8</f>
        <v>#DIV/0!</v>
      </c>
      <c r="F7" s="72">
        <f t="shared" ref="F7:H7" si="2">F8</f>
        <v>537.92999999999995</v>
      </c>
      <c r="G7" s="72">
        <f t="shared" si="2"/>
        <v>0</v>
      </c>
      <c r="H7" s="72">
        <f t="shared" si="2"/>
        <v>232</v>
      </c>
      <c r="I7" s="72" t="e">
        <f t="shared" si="1"/>
        <v>#DIV/0!</v>
      </c>
      <c r="L7" s="40"/>
    </row>
    <row r="8" spans="1:17" ht="15" customHeight="1" x14ac:dyDescent="0.25">
      <c r="A8" s="270" t="s">
        <v>129</v>
      </c>
      <c r="B8" s="271"/>
      <c r="C8" s="272"/>
      <c r="D8" s="84" t="s">
        <v>130</v>
      </c>
      <c r="E8" s="115" t="e">
        <f>E9</f>
        <v>#DIV/0!</v>
      </c>
      <c r="F8" s="73">
        <f t="shared" ref="F8:H8" si="3">F9</f>
        <v>537.92999999999995</v>
      </c>
      <c r="G8" s="73">
        <f t="shared" si="3"/>
        <v>0</v>
      </c>
      <c r="H8" s="73">
        <f t="shared" si="3"/>
        <v>232</v>
      </c>
      <c r="I8" s="73" t="e">
        <f t="shared" si="1"/>
        <v>#DIV/0!</v>
      </c>
    </row>
    <row r="9" spans="1:17" x14ac:dyDescent="0.25">
      <c r="A9" s="261">
        <v>3</v>
      </c>
      <c r="B9" s="262"/>
      <c r="C9" s="263"/>
      <c r="D9" s="93" t="s">
        <v>19</v>
      </c>
      <c r="E9" s="116" t="e">
        <f>E10</f>
        <v>#DIV/0!</v>
      </c>
      <c r="F9" s="74">
        <f t="shared" ref="F9:H9" si="4">F10</f>
        <v>537.92999999999995</v>
      </c>
      <c r="G9" s="74">
        <f t="shared" si="4"/>
        <v>0</v>
      </c>
      <c r="H9" s="74">
        <f t="shared" si="4"/>
        <v>232</v>
      </c>
      <c r="I9" s="74" t="e">
        <f t="shared" si="1"/>
        <v>#DIV/0!</v>
      </c>
    </row>
    <row r="10" spans="1:17" ht="26.25" x14ac:dyDescent="0.25">
      <c r="A10" s="252">
        <v>37</v>
      </c>
      <c r="B10" s="253"/>
      <c r="C10" s="254"/>
      <c r="D10" s="94" t="s">
        <v>131</v>
      </c>
      <c r="E10" s="117" t="e">
        <f>E12</f>
        <v>#DIV/0!</v>
      </c>
      <c r="F10" s="75">
        <f t="shared" ref="F10" si="5">F12</f>
        <v>537.92999999999995</v>
      </c>
      <c r="G10" s="75">
        <f t="shared" ref="G10:H10" si="6">G12</f>
        <v>0</v>
      </c>
      <c r="H10" s="75">
        <f t="shared" si="6"/>
        <v>232</v>
      </c>
      <c r="I10" s="75" t="e">
        <f t="shared" si="1"/>
        <v>#DIV/0!</v>
      </c>
    </row>
    <row r="11" spans="1:17" x14ac:dyDescent="0.25">
      <c r="A11" s="255" t="s">
        <v>351</v>
      </c>
      <c r="B11" s="256"/>
      <c r="C11" s="257"/>
      <c r="D11" s="198" t="s">
        <v>398</v>
      </c>
      <c r="E11" s="199" t="e">
        <f>SUM(E20:E47)</f>
        <v>#DIV/0!</v>
      </c>
      <c r="F11" s="199">
        <f t="shared" ref="F11:H11" si="7">F12</f>
        <v>537.92999999999995</v>
      </c>
      <c r="G11" s="199">
        <f t="shared" ref="G11" si="8">G12</f>
        <v>0</v>
      </c>
      <c r="H11" s="199">
        <f t="shared" si="7"/>
        <v>232</v>
      </c>
      <c r="I11" s="199" t="e">
        <f t="shared" ref="I11:I24" si="9">H11/G11*100</f>
        <v>#DIV/0!</v>
      </c>
    </row>
    <row r="12" spans="1:17" ht="25.5" hidden="1" x14ac:dyDescent="0.25">
      <c r="A12" s="258" t="s">
        <v>187</v>
      </c>
      <c r="B12" s="259"/>
      <c r="C12" s="260"/>
      <c r="D12" s="95" t="s">
        <v>131</v>
      </c>
      <c r="E12" s="118" t="e">
        <f>23342.1/K1</f>
        <v>#DIV/0!</v>
      </c>
      <c r="F12" s="81">
        <v>537.92999999999995</v>
      </c>
      <c r="G12" s="81"/>
      <c r="H12" s="81">
        <v>232</v>
      </c>
      <c r="I12" s="89"/>
    </row>
    <row r="13" spans="1:17" ht="36" x14ac:dyDescent="0.25">
      <c r="A13" s="264" t="s">
        <v>114</v>
      </c>
      <c r="B13" s="265"/>
      <c r="C13" s="266"/>
      <c r="D13" s="96" t="s">
        <v>423</v>
      </c>
      <c r="E13" s="77">
        <f t="shared" ref="E13:G16" si="10">E14</f>
        <v>5549.68</v>
      </c>
      <c r="F13" s="77">
        <f t="shared" si="10"/>
        <v>8561.4599999999991</v>
      </c>
      <c r="G13" s="210">
        <f>G14</f>
        <v>0</v>
      </c>
      <c r="H13" s="77">
        <f t="shared" ref="H13:H18" si="11">G13/F13*100</f>
        <v>0</v>
      </c>
      <c r="I13" s="77" t="e">
        <f t="shared" si="9"/>
        <v>#DIV/0!</v>
      </c>
      <c r="K13" s="52"/>
      <c r="L13" s="52"/>
      <c r="M13" s="52"/>
      <c r="N13" s="52"/>
      <c r="O13" s="52"/>
      <c r="P13" s="52"/>
    </row>
    <row r="14" spans="1:17" ht="15" customHeight="1" x14ac:dyDescent="0.25">
      <c r="A14" s="267" t="s">
        <v>424</v>
      </c>
      <c r="B14" s="268"/>
      <c r="C14" s="269"/>
      <c r="D14" s="92" t="s">
        <v>425</v>
      </c>
      <c r="E14" s="72">
        <f>E15</f>
        <v>5549.68</v>
      </c>
      <c r="F14" s="72">
        <f t="shared" si="10"/>
        <v>8561.4599999999991</v>
      </c>
      <c r="G14" s="72">
        <f t="shared" si="10"/>
        <v>0</v>
      </c>
      <c r="H14" s="72">
        <f>G14/F14*100</f>
        <v>0</v>
      </c>
      <c r="I14" s="72" t="e">
        <f t="shared" si="9"/>
        <v>#DIV/0!</v>
      </c>
    </row>
    <row r="15" spans="1:17" ht="15" customHeight="1" x14ac:dyDescent="0.25">
      <c r="A15" s="270" t="s">
        <v>118</v>
      </c>
      <c r="B15" s="271"/>
      <c r="C15" s="272"/>
      <c r="D15" s="84" t="s">
        <v>17</v>
      </c>
      <c r="E15" s="73">
        <f>E16</f>
        <v>5549.68</v>
      </c>
      <c r="F15" s="73">
        <f t="shared" si="10"/>
        <v>8561.4599999999991</v>
      </c>
      <c r="G15" s="73">
        <f t="shared" si="10"/>
        <v>0</v>
      </c>
      <c r="H15" s="211">
        <f t="shared" si="11"/>
        <v>0</v>
      </c>
      <c r="I15" s="73" t="e">
        <f t="shared" si="9"/>
        <v>#DIV/0!</v>
      </c>
    </row>
    <row r="16" spans="1:17" x14ac:dyDescent="0.25">
      <c r="A16" s="261">
        <v>3</v>
      </c>
      <c r="B16" s="262"/>
      <c r="C16" s="263"/>
      <c r="D16" s="209" t="s">
        <v>19</v>
      </c>
      <c r="E16" s="74">
        <f t="shared" ref="E16" si="12">E17</f>
        <v>5549.68</v>
      </c>
      <c r="F16" s="74">
        <f t="shared" si="10"/>
        <v>8561.4599999999991</v>
      </c>
      <c r="G16" s="74">
        <f>G17</f>
        <v>0</v>
      </c>
      <c r="H16" s="74">
        <f t="shared" si="11"/>
        <v>0</v>
      </c>
      <c r="I16" s="74" t="e">
        <f t="shared" si="9"/>
        <v>#DIV/0!</v>
      </c>
    </row>
    <row r="17" spans="1:17" x14ac:dyDescent="0.25">
      <c r="A17" s="252">
        <v>32</v>
      </c>
      <c r="B17" s="253"/>
      <c r="C17" s="254"/>
      <c r="D17" s="97" t="s">
        <v>32</v>
      </c>
      <c r="E17" s="212">
        <f t="shared" ref="E17:F17" si="13">E19</f>
        <v>5549.68</v>
      </c>
      <c r="F17" s="212">
        <f t="shared" si="13"/>
        <v>8561.4599999999991</v>
      </c>
      <c r="G17" s="212">
        <f>G19</f>
        <v>0</v>
      </c>
      <c r="H17" s="75">
        <f t="shared" si="11"/>
        <v>0</v>
      </c>
      <c r="I17" s="75" t="e">
        <f t="shared" si="9"/>
        <v>#DIV/0!</v>
      </c>
    </row>
    <row r="18" spans="1:17" x14ac:dyDescent="0.25">
      <c r="A18" s="255" t="s">
        <v>311</v>
      </c>
      <c r="B18" s="256"/>
      <c r="C18" s="257"/>
      <c r="D18" s="198" t="s">
        <v>396</v>
      </c>
      <c r="E18" s="199">
        <f>E19</f>
        <v>5549.68</v>
      </c>
      <c r="F18" s="199">
        <f t="shared" ref="F18:G18" si="14">F19</f>
        <v>8561.4599999999991</v>
      </c>
      <c r="G18" s="199">
        <f t="shared" si="14"/>
        <v>0</v>
      </c>
      <c r="H18" s="199">
        <f t="shared" si="11"/>
        <v>0</v>
      </c>
      <c r="I18" s="199" t="e">
        <f t="shared" si="9"/>
        <v>#DIV/0!</v>
      </c>
    </row>
    <row r="19" spans="1:17" hidden="1" x14ac:dyDescent="0.25">
      <c r="A19" s="258" t="s">
        <v>315</v>
      </c>
      <c r="B19" s="259"/>
      <c r="C19" s="260"/>
      <c r="D19" s="95" t="s">
        <v>55</v>
      </c>
      <c r="E19" s="213">
        <v>5549.68</v>
      </c>
      <c r="F19" s="81">
        <v>8561.4599999999991</v>
      </c>
      <c r="G19" s="62">
        <v>0</v>
      </c>
      <c r="H19" s="81">
        <v>0</v>
      </c>
      <c r="I19"/>
    </row>
    <row r="20" spans="1:17" x14ac:dyDescent="0.25">
      <c r="A20" s="264" t="s">
        <v>114</v>
      </c>
      <c r="B20" s="265"/>
      <c r="C20" s="266"/>
      <c r="D20" s="96" t="s">
        <v>84</v>
      </c>
      <c r="E20" s="119" t="e">
        <f>E21</f>
        <v>#DIV/0!</v>
      </c>
      <c r="F20" s="77">
        <f>F21+F32</f>
        <v>83272.509999999995</v>
      </c>
      <c r="G20" s="77">
        <f>G21</f>
        <v>0</v>
      </c>
      <c r="H20" s="77">
        <f t="shared" ref="H20" si="15">H21</f>
        <v>0</v>
      </c>
      <c r="I20" s="77" t="e">
        <f t="shared" si="9"/>
        <v>#DIV/0!</v>
      </c>
      <c r="L20" s="52"/>
      <c r="M20" s="52"/>
      <c r="N20" s="52"/>
      <c r="O20" s="52"/>
      <c r="P20" s="52"/>
      <c r="Q20" s="52"/>
    </row>
    <row r="21" spans="1:17" ht="35.25" customHeight="1" x14ac:dyDescent="0.25">
      <c r="A21" s="267" t="s">
        <v>47</v>
      </c>
      <c r="B21" s="268"/>
      <c r="C21" s="269"/>
      <c r="D21" s="92" t="s">
        <v>48</v>
      </c>
      <c r="E21" s="114" t="e">
        <f>E22</f>
        <v>#DIV/0!</v>
      </c>
      <c r="F21" s="72">
        <f>F22+F27</f>
        <v>73370.41</v>
      </c>
      <c r="G21" s="72">
        <f t="shared" ref="G21" si="16">G22+G27</f>
        <v>0</v>
      </c>
      <c r="H21" s="72">
        <f>H22+H27</f>
        <v>0</v>
      </c>
      <c r="I21" s="72" t="e">
        <f t="shared" si="9"/>
        <v>#DIV/0!</v>
      </c>
    </row>
    <row r="22" spans="1:17" ht="15" customHeight="1" x14ac:dyDescent="0.25">
      <c r="A22" s="270" t="s">
        <v>118</v>
      </c>
      <c r="B22" s="271"/>
      <c r="C22" s="272"/>
      <c r="D22" s="84" t="s">
        <v>17</v>
      </c>
      <c r="E22" s="115" t="e">
        <f>E23</f>
        <v>#DIV/0!</v>
      </c>
      <c r="F22" s="73">
        <f t="shared" ref="F22:H22" si="17">F23</f>
        <v>73370.41</v>
      </c>
      <c r="G22" s="73">
        <f t="shared" si="17"/>
        <v>0</v>
      </c>
      <c r="H22" s="73">
        <f t="shared" si="17"/>
        <v>0</v>
      </c>
      <c r="I22" s="73" t="e">
        <f t="shared" si="9"/>
        <v>#DIV/0!</v>
      </c>
    </row>
    <row r="23" spans="1:17" ht="25.5" x14ac:dyDescent="0.25">
      <c r="A23" s="261">
        <v>4</v>
      </c>
      <c r="B23" s="262"/>
      <c r="C23" s="263"/>
      <c r="D23" s="93" t="s">
        <v>21</v>
      </c>
      <c r="E23" s="116" t="e">
        <f>E24</f>
        <v>#DIV/0!</v>
      </c>
      <c r="F23" s="74">
        <f t="shared" ref="F23:H23" si="18">F24</f>
        <v>73370.41</v>
      </c>
      <c r="G23" s="74">
        <f t="shared" si="18"/>
        <v>0</v>
      </c>
      <c r="H23" s="74">
        <f t="shared" si="18"/>
        <v>0</v>
      </c>
      <c r="I23" s="74" t="e">
        <f t="shared" si="9"/>
        <v>#DIV/0!</v>
      </c>
    </row>
    <row r="24" spans="1:17" ht="25.5" x14ac:dyDescent="0.25">
      <c r="A24" s="252">
        <v>42</v>
      </c>
      <c r="B24" s="253"/>
      <c r="C24" s="254"/>
      <c r="D24" s="97" t="s">
        <v>189</v>
      </c>
      <c r="E24" s="117" t="e">
        <f>E26</f>
        <v>#DIV/0!</v>
      </c>
      <c r="F24" s="75">
        <f t="shared" ref="F24" si="19">F26</f>
        <v>73370.41</v>
      </c>
      <c r="G24" s="75">
        <f t="shared" ref="G24:H24" si="20">G26</f>
        <v>0</v>
      </c>
      <c r="H24" s="75">
        <f t="shared" si="20"/>
        <v>0</v>
      </c>
      <c r="I24" s="75" t="e">
        <f t="shared" si="9"/>
        <v>#DIV/0!</v>
      </c>
    </row>
    <row r="25" spans="1:17" x14ac:dyDescent="0.25">
      <c r="A25" s="255" t="s">
        <v>358</v>
      </c>
      <c r="B25" s="256"/>
      <c r="C25" s="257"/>
      <c r="D25" s="198" t="s">
        <v>390</v>
      </c>
      <c r="E25" s="199" t="e">
        <f>SUM(E27:E54)</f>
        <v>#DIV/0!</v>
      </c>
      <c r="F25" s="199">
        <f t="shared" ref="F25:H25" si="21">F26</f>
        <v>73370.41</v>
      </c>
      <c r="G25" s="199">
        <f t="shared" si="21"/>
        <v>0</v>
      </c>
      <c r="H25" s="199">
        <f t="shared" si="21"/>
        <v>0</v>
      </c>
      <c r="I25" s="199" t="e">
        <f t="shared" ref="I25" si="22">H25/G25*100</f>
        <v>#DIV/0!</v>
      </c>
    </row>
    <row r="26" spans="1:17" hidden="1" x14ac:dyDescent="0.25">
      <c r="A26" s="258" t="s">
        <v>190</v>
      </c>
      <c r="B26" s="259"/>
      <c r="C26" s="260"/>
      <c r="D26" s="95" t="s">
        <v>426</v>
      </c>
      <c r="E26" s="118" t="e">
        <f>224968.75/K1</f>
        <v>#DIV/0!</v>
      </c>
      <c r="F26" s="62">
        <v>73370.41</v>
      </c>
      <c r="G26" s="62"/>
      <c r="H26" s="62"/>
      <c r="I26" s="63"/>
    </row>
    <row r="27" spans="1:17" ht="15" customHeight="1" x14ac:dyDescent="0.25">
      <c r="A27" s="270" t="s">
        <v>380</v>
      </c>
      <c r="B27" s="271"/>
      <c r="C27" s="272"/>
      <c r="D27" s="84" t="s">
        <v>233</v>
      </c>
      <c r="E27" s="115" t="e">
        <f>E28</f>
        <v>#DIV/0!</v>
      </c>
      <c r="F27" s="73">
        <f t="shared" ref="F27:H28" si="23">F28</f>
        <v>0</v>
      </c>
      <c r="G27" s="73">
        <f t="shared" si="23"/>
        <v>0</v>
      </c>
      <c r="H27" s="73">
        <f t="shared" si="23"/>
        <v>0</v>
      </c>
      <c r="I27" s="73" t="e">
        <f t="shared" ref="I27:I30" si="24">H27/G27*100</f>
        <v>#DIV/0!</v>
      </c>
    </row>
    <row r="28" spans="1:17" ht="25.5" x14ac:dyDescent="0.25">
      <c r="A28" s="261">
        <v>4</v>
      </c>
      <c r="B28" s="262"/>
      <c r="C28" s="263"/>
      <c r="D28" s="107" t="s">
        <v>21</v>
      </c>
      <c r="E28" s="116" t="e">
        <f>E29</f>
        <v>#DIV/0!</v>
      </c>
      <c r="F28" s="74">
        <f t="shared" si="23"/>
        <v>0</v>
      </c>
      <c r="G28" s="74">
        <f t="shared" si="23"/>
        <v>0</v>
      </c>
      <c r="H28" s="74">
        <f t="shared" si="23"/>
        <v>0</v>
      </c>
      <c r="I28" s="74" t="e">
        <f t="shared" si="24"/>
        <v>#DIV/0!</v>
      </c>
    </row>
    <row r="29" spans="1:17" ht="25.5" x14ac:dyDescent="0.25">
      <c r="A29" s="252">
        <v>42</v>
      </c>
      <c r="B29" s="253"/>
      <c r="C29" s="254"/>
      <c r="D29" s="97" t="s">
        <v>189</v>
      </c>
      <c r="E29" s="117" t="e">
        <f>E31</f>
        <v>#DIV/0!</v>
      </c>
      <c r="F29" s="75">
        <f>F31</f>
        <v>0</v>
      </c>
      <c r="G29" s="75">
        <f>G31</f>
        <v>0</v>
      </c>
      <c r="H29" s="75">
        <f>H31</f>
        <v>0</v>
      </c>
      <c r="I29" s="75" t="e">
        <f t="shared" si="24"/>
        <v>#DIV/0!</v>
      </c>
    </row>
    <row r="30" spans="1:17" x14ac:dyDescent="0.25">
      <c r="A30" s="255" t="s">
        <v>358</v>
      </c>
      <c r="B30" s="256"/>
      <c r="C30" s="257"/>
      <c r="D30" s="198" t="s">
        <v>390</v>
      </c>
      <c r="E30" s="199" t="e">
        <f>SUM(E38:E59)</f>
        <v>#DIV/0!</v>
      </c>
      <c r="F30" s="199">
        <f t="shared" ref="F30:H30" si="25">F31</f>
        <v>0</v>
      </c>
      <c r="G30" s="199">
        <f t="shared" ref="G30" si="26">G31</f>
        <v>0</v>
      </c>
      <c r="H30" s="199">
        <f t="shared" si="25"/>
        <v>0</v>
      </c>
      <c r="I30" s="199" t="e">
        <f t="shared" si="24"/>
        <v>#DIV/0!</v>
      </c>
    </row>
    <row r="31" spans="1:17" x14ac:dyDescent="0.25">
      <c r="A31" s="258" t="s">
        <v>190</v>
      </c>
      <c r="B31" s="259"/>
      <c r="C31" s="260"/>
      <c r="D31" s="95" t="s">
        <v>99</v>
      </c>
      <c r="E31" s="118" t="e">
        <f>224968.75/K5</f>
        <v>#DIV/0!</v>
      </c>
      <c r="F31" s="62">
        <v>0</v>
      </c>
      <c r="G31" s="62"/>
      <c r="H31" s="62"/>
      <c r="I31" s="63"/>
    </row>
    <row r="32" spans="1:17" ht="35.25" customHeight="1" x14ac:dyDescent="0.25">
      <c r="A32" s="267" t="s">
        <v>427</v>
      </c>
      <c r="B32" s="268"/>
      <c r="C32" s="269"/>
      <c r="D32" s="92" t="s">
        <v>428</v>
      </c>
      <c r="E32" s="72">
        <f>E33</f>
        <v>0</v>
      </c>
      <c r="F32" s="72">
        <f t="shared" ref="F32:G34" si="27">F33</f>
        <v>9902.1</v>
      </c>
      <c r="G32" s="214">
        <f t="shared" si="27"/>
        <v>0</v>
      </c>
      <c r="H32" s="72">
        <f t="shared" ref="H32:I36" si="28">G32/F32*100</f>
        <v>0</v>
      </c>
      <c r="I32" s="72" t="e">
        <f t="shared" si="28"/>
        <v>#DIV/0!</v>
      </c>
    </row>
    <row r="33" spans="1:17" ht="15" customHeight="1" x14ac:dyDescent="0.25">
      <c r="A33" s="270" t="s">
        <v>118</v>
      </c>
      <c r="B33" s="271"/>
      <c r="C33" s="272"/>
      <c r="D33" s="84" t="s">
        <v>17</v>
      </c>
      <c r="E33" s="73">
        <f>E34</f>
        <v>0</v>
      </c>
      <c r="F33" s="73">
        <f t="shared" si="27"/>
        <v>9902.1</v>
      </c>
      <c r="G33" s="61">
        <f t="shared" si="27"/>
        <v>0</v>
      </c>
      <c r="H33" s="211">
        <f t="shared" si="28"/>
        <v>0</v>
      </c>
      <c r="I33" s="73" t="e">
        <f t="shared" si="28"/>
        <v>#DIV/0!</v>
      </c>
    </row>
    <row r="34" spans="1:17" ht="25.5" x14ac:dyDescent="0.25">
      <c r="A34" s="261">
        <v>4</v>
      </c>
      <c r="B34" s="262"/>
      <c r="C34" s="263"/>
      <c r="D34" s="209" t="s">
        <v>21</v>
      </c>
      <c r="E34" s="74">
        <f>E35</f>
        <v>0</v>
      </c>
      <c r="F34" s="74">
        <f t="shared" si="27"/>
        <v>9902.1</v>
      </c>
      <c r="G34" s="215">
        <f t="shared" si="27"/>
        <v>0</v>
      </c>
      <c r="H34" s="74">
        <f t="shared" si="28"/>
        <v>0</v>
      </c>
      <c r="I34" s="74" t="e">
        <f t="shared" si="28"/>
        <v>#DIV/0!</v>
      </c>
    </row>
    <row r="35" spans="1:17" x14ac:dyDescent="0.25">
      <c r="A35" s="252">
        <v>45</v>
      </c>
      <c r="B35" s="253"/>
      <c r="C35" s="254"/>
      <c r="D35" s="97" t="s">
        <v>202</v>
      </c>
      <c r="E35" s="75">
        <f>E37</f>
        <v>0</v>
      </c>
      <c r="F35" s="75">
        <f>F37</f>
        <v>9902.1</v>
      </c>
      <c r="G35" s="212">
        <f>G37</f>
        <v>0</v>
      </c>
      <c r="H35" s="75">
        <f t="shared" si="28"/>
        <v>0</v>
      </c>
      <c r="I35" s="75" t="e">
        <f t="shared" si="28"/>
        <v>#DIV/0!</v>
      </c>
    </row>
    <row r="36" spans="1:17" x14ac:dyDescent="0.25">
      <c r="A36" s="255" t="s">
        <v>371</v>
      </c>
      <c r="B36" s="256"/>
      <c r="C36" s="257"/>
      <c r="D36" s="198" t="s">
        <v>395</v>
      </c>
      <c r="E36" s="199">
        <f>E37</f>
        <v>0</v>
      </c>
      <c r="F36" s="199">
        <f>F37</f>
        <v>9902.1</v>
      </c>
      <c r="G36" s="199">
        <f>G37</f>
        <v>0</v>
      </c>
      <c r="H36" s="199">
        <f t="shared" si="28"/>
        <v>0</v>
      </c>
      <c r="I36" s="199" t="e">
        <f t="shared" si="28"/>
        <v>#DIV/0!</v>
      </c>
    </row>
    <row r="37" spans="1:17" ht="25.5" hidden="1" x14ac:dyDescent="0.25">
      <c r="A37" s="258" t="s">
        <v>192</v>
      </c>
      <c r="B37" s="259"/>
      <c r="C37" s="260"/>
      <c r="D37" s="95" t="s">
        <v>191</v>
      </c>
      <c r="E37" s="213">
        <v>0</v>
      </c>
      <c r="F37" s="81">
        <v>9902.1</v>
      </c>
      <c r="G37" s="62">
        <v>0</v>
      </c>
      <c r="H37" s="62">
        <v>0</v>
      </c>
      <c r="I37"/>
    </row>
    <row r="38" spans="1:17" ht="36" x14ac:dyDescent="0.25">
      <c r="A38" s="264" t="s">
        <v>114</v>
      </c>
      <c r="B38" s="265"/>
      <c r="C38" s="266"/>
      <c r="D38" s="96" t="s">
        <v>49</v>
      </c>
      <c r="E38" s="119" t="e">
        <f>E39+E68</f>
        <v>#DIV/0!</v>
      </c>
      <c r="F38" s="77">
        <f t="shared" ref="F38" si="29">F39+F68</f>
        <v>56996</v>
      </c>
      <c r="G38" s="77">
        <f t="shared" ref="G38:H38" si="30">G39+G68</f>
        <v>61843</v>
      </c>
      <c r="H38" s="77">
        <f t="shared" si="30"/>
        <v>61653.32</v>
      </c>
      <c r="I38" s="77">
        <f t="shared" ref="I38:I43" si="31">H38/G38*100</f>
        <v>99.69</v>
      </c>
      <c r="J38" s="40">
        <f>86133.13-H38</f>
        <v>24479.81</v>
      </c>
      <c r="L38" s="52"/>
      <c r="M38" s="52"/>
      <c r="N38" s="52"/>
      <c r="O38" s="52"/>
      <c r="P38" s="52"/>
      <c r="Q38" s="52"/>
    </row>
    <row r="39" spans="1:17" ht="15" customHeight="1" x14ac:dyDescent="0.25">
      <c r="A39" s="267" t="s">
        <v>111</v>
      </c>
      <c r="B39" s="268"/>
      <c r="C39" s="269"/>
      <c r="D39" s="92" t="s">
        <v>51</v>
      </c>
      <c r="E39" s="114" t="e">
        <f>E40</f>
        <v>#DIV/0!</v>
      </c>
      <c r="F39" s="72">
        <f t="shared" ref="F39:H39" si="32">F40</f>
        <v>48499</v>
      </c>
      <c r="G39" s="72">
        <f t="shared" si="32"/>
        <v>52791</v>
      </c>
      <c r="H39" s="72">
        <f t="shared" si="32"/>
        <v>52601.32</v>
      </c>
      <c r="I39" s="72">
        <f t="shared" si="31"/>
        <v>99.64</v>
      </c>
    </row>
    <row r="40" spans="1:17" ht="15" customHeight="1" x14ac:dyDescent="0.25">
      <c r="A40" s="270" t="s">
        <v>112</v>
      </c>
      <c r="B40" s="271"/>
      <c r="C40" s="272"/>
      <c r="D40" s="84" t="s">
        <v>113</v>
      </c>
      <c r="E40" s="115" t="e">
        <f>E41</f>
        <v>#DIV/0!</v>
      </c>
      <c r="F40" s="73">
        <f t="shared" ref="F40:H40" si="33">F41</f>
        <v>48499</v>
      </c>
      <c r="G40" s="73">
        <f t="shared" si="33"/>
        <v>52791</v>
      </c>
      <c r="H40" s="73">
        <f t="shared" si="33"/>
        <v>52601.32</v>
      </c>
      <c r="I40" s="73">
        <f t="shared" si="31"/>
        <v>99.64</v>
      </c>
    </row>
    <row r="41" spans="1:17" x14ac:dyDescent="0.25">
      <c r="A41" s="261">
        <v>3</v>
      </c>
      <c r="B41" s="262"/>
      <c r="C41" s="263"/>
      <c r="D41" s="93" t="s">
        <v>19</v>
      </c>
      <c r="E41" s="116" t="e">
        <f>E42+E65</f>
        <v>#DIV/0!</v>
      </c>
      <c r="F41" s="74">
        <f t="shared" ref="F41" si="34">F42+F65</f>
        <v>48499</v>
      </c>
      <c r="G41" s="74">
        <f t="shared" ref="G41:H41" si="35">G42+G65</f>
        <v>52791</v>
      </c>
      <c r="H41" s="74">
        <f t="shared" si="35"/>
        <v>52601.32</v>
      </c>
      <c r="I41" s="74">
        <f t="shared" si="31"/>
        <v>99.64</v>
      </c>
    </row>
    <row r="42" spans="1:17" x14ac:dyDescent="0.25">
      <c r="A42" s="252">
        <v>32</v>
      </c>
      <c r="B42" s="253"/>
      <c r="C42" s="254"/>
      <c r="D42" s="97" t="s">
        <v>32</v>
      </c>
      <c r="E42" s="117" t="e">
        <f>SUM(E44:E64)</f>
        <v>#DIV/0!</v>
      </c>
      <c r="F42" s="75">
        <f>F43+F51+F60</f>
        <v>47549</v>
      </c>
      <c r="G42" s="75">
        <f>G43+G51+G60</f>
        <v>51661</v>
      </c>
      <c r="H42" s="75">
        <f>H43+H51+H60</f>
        <v>51661</v>
      </c>
      <c r="I42" s="75">
        <f t="shared" si="31"/>
        <v>100</v>
      </c>
    </row>
    <row r="43" spans="1:17" x14ac:dyDescent="0.25">
      <c r="A43" s="255">
        <v>322</v>
      </c>
      <c r="B43" s="256"/>
      <c r="C43" s="257"/>
      <c r="D43" s="198" t="s">
        <v>32</v>
      </c>
      <c r="E43" s="199" t="e">
        <f>SUM(E45:E65)</f>
        <v>#DIV/0!</v>
      </c>
      <c r="F43" s="199">
        <f>SUM(F44:F50)</f>
        <v>27984.59</v>
      </c>
      <c r="G43" s="199">
        <f>SUM(G44:G50)</f>
        <v>34319</v>
      </c>
      <c r="H43" s="199">
        <f>SUM(H44:H50)</f>
        <v>33388.089999999997</v>
      </c>
      <c r="I43" s="199">
        <f t="shared" si="31"/>
        <v>97.29</v>
      </c>
    </row>
    <row r="44" spans="1:17" hidden="1" x14ac:dyDescent="0.25">
      <c r="A44" s="258">
        <v>3211</v>
      </c>
      <c r="B44" s="259"/>
      <c r="C44" s="260"/>
      <c r="D44" s="95" t="s">
        <v>52</v>
      </c>
      <c r="E44" s="118" t="e">
        <f>33066.4/K1</f>
        <v>#DIV/0!</v>
      </c>
      <c r="F44" s="81">
        <v>5460.24</v>
      </c>
      <c r="G44" s="81">
        <v>6500</v>
      </c>
      <c r="H44" s="81">
        <v>6675.61</v>
      </c>
      <c r="I44" s="81"/>
    </row>
    <row r="45" spans="1:17" hidden="1" x14ac:dyDescent="0.25">
      <c r="A45" s="258">
        <v>3213</v>
      </c>
      <c r="B45" s="259">
        <v>3213</v>
      </c>
      <c r="C45" s="260">
        <v>3213</v>
      </c>
      <c r="D45" s="95" t="s">
        <v>53</v>
      </c>
      <c r="E45" s="118" t="e">
        <f>4133.5/K1</f>
        <v>#DIV/0!</v>
      </c>
      <c r="F45" s="81">
        <v>577.91</v>
      </c>
      <c r="G45" s="81">
        <v>1500</v>
      </c>
      <c r="H45" s="81">
        <v>913.6</v>
      </c>
      <c r="I45" s="81"/>
    </row>
    <row r="46" spans="1:17" hidden="1" x14ac:dyDescent="0.25">
      <c r="A46" s="258" t="s">
        <v>182</v>
      </c>
      <c r="B46" s="259">
        <v>3213</v>
      </c>
      <c r="C46" s="260">
        <v>3213</v>
      </c>
      <c r="D46" s="95" t="s">
        <v>183</v>
      </c>
      <c r="E46" s="118">
        <v>0</v>
      </c>
      <c r="F46" s="81">
        <v>993.14</v>
      </c>
      <c r="G46" s="81">
        <v>100</v>
      </c>
      <c r="H46" s="81">
        <v>0</v>
      </c>
      <c r="I46" s="81"/>
    </row>
    <row r="47" spans="1:17" hidden="1" x14ac:dyDescent="0.25">
      <c r="A47" s="258">
        <v>3221</v>
      </c>
      <c r="B47" s="259">
        <v>3221</v>
      </c>
      <c r="C47" s="260">
        <v>3221</v>
      </c>
      <c r="D47" s="95" t="s">
        <v>54</v>
      </c>
      <c r="E47" s="118" t="e">
        <f>63505/K1</f>
        <v>#DIV/0!</v>
      </c>
      <c r="F47" s="81">
        <v>10769.98</v>
      </c>
      <c r="G47" s="81">
        <v>7919</v>
      </c>
      <c r="H47" s="81">
        <v>7296.65</v>
      </c>
      <c r="I47" s="81"/>
    </row>
    <row r="48" spans="1:17" hidden="1" x14ac:dyDescent="0.25">
      <c r="A48" s="258">
        <v>3223</v>
      </c>
      <c r="B48" s="259">
        <v>3223</v>
      </c>
      <c r="C48" s="260">
        <v>3223</v>
      </c>
      <c r="D48" s="95" t="s">
        <v>55</v>
      </c>
      <c r="E48" s="118" t="e">
        <f>110613/K1-0.02</f>
        <v>#DIV/0!</v>
      </c>
      <c r="F48" s="81">
        <v>8932.02</v>
      </c>
      <c r="G48" s="81">
        <v>17000</v>
      </c>
      <c r="H48" s="81">
        <v>16285.91</v>
      </c>
      <c r="I48" s="81"/>
    </row>
    <row r="49" spans="1:9" hidden="1" x14ac:dyDescent="0.25">
      <c r="A49" s="258">
        <v>3225</v>
      </c>
      <c r="B49" s="259">
        <v>3225</v>
      </c>
      <c r="C49" s="260">
        <v>3225</v>
      </c>
      <c r="D49" s="95" t="s">
        <v>56</v>
      </c>
      <c r="E49" s="118" t="e">
        <f>2576/K1</f>
        <v>#DIV/0!</v>
      </c>
      <c r="F49" s="81">
        <v>654.46</v>
      </c>
      <c r="G49" s="81">
        <v>500</v>
      </c>
      <c r="H49" s="81">
        <v>1935.4</v>
      </c>
      <c r="I49" s="81"/>
    </row>
    <row r="50" spans="1:9" hidden="1" x14ac:dyDescent="0.25">
      <c r="A50" s="258">
        <v>3227</v>
      </c>
      <c r="B50" s="259">
        <v>3227</v>
      </c>
      <c r="C50" s="260">
        <v>3227</v>
      </c>
      <c r="D50" s="95" t="s">
        <v>57</v>
      </c>
      <c r="E50" s="118" t="e">
        <f>1656.9/K1</f>
        <v>#DIV/0!</v>
      </c>
      <c r="F50" s="81">
        <v>596.84</v>
      </c>
      <c r="G50" s="81">
        <v>800</v>
      </c>
      <c r="H50" s="81">
        <v>280.92</v>
      </c>
      <c r="I50" s="81"/>
    </row>
    <row r="51" spans="1:9" x14ac:dyDescent="0.25">
      <c r="A51" s="255" t="s">
        <v>320</v>
      </c>
      <c r="B51" s="256"/>
      <c r="C51" s="257"/>
      <c r="D51" s="198" t="s">
        <v>389</v>
      </c>
      <c r="E51" s="199" t="e">
        <f>SUM(E53:E75)</f>
        <v>#DIV/0!</v>
      </c>
      <c r="F51" s="199">
        <f>SUM(F52:F59)</f>
        <v>18463.689999999999</v>
      </c>
      <c r="G51" s="199">
        <f>SUM(G52:G59)</f>
        <v>16322</v>
      </c>
      <c r="H51" s="199">
        <f>SUM(H52:H59)</f>
        <v>17747.560000000001</v>
      </c>
      <c r="I51" s="199">
        <f t="shared" ref="I51" si="36">H51/G51*100</f>
        <v>108.73</v>
      </c>
    </row>
    <row r="52" spans="1:9" hidden="1" x14ac:dyDescent="0.25">
      <c r="A52" s="258">
        <v>3231</v>
      </c>
      <c r="B52" s="259">
        <v>3231</v>
      </c>
      <c r="C52" s="260">
        <v>3231</v>
      </c>
      <c r="D52" s="95" t="s">
        <v>58</v>
      </c>
      <c r="E52" s="118" t="e">
        <f>16604.44/K1</f>
        <v>#DIV/0!</v>
      </c>
      <c r="F52" s="81">
        <v>2058.77</v>
      </c>
      <c r="G52" s="81">
        <v>2400</v>
      </c>
      <c r="H52" s="81">
        <v>2016.89</v>
      </c>
      <c r="I52" s="81"/>
    </row>
    <row r="53" spans="1:9" hidden="1" x14ac:dyDescent="0.25">
      <c r="A53" s="258">
        <v>3233</v>
      </c>
      <c r="B53" s="259">
        <v>3233</v>
      </c>
      <c r="C53" s="260">
        <v>3233</v>
      </c>
      <c r="D53" s="95" t="s">
        <v>59</v>
      </c>
      <c r="E53" s="118">
        <v>0</v>
      </c>
      <c r="F53" s="81">
        <v>0</v>
      </c>
      <c r="G53" s="81">
        <v>10</v>
      </c>
      <c r="H53" s="81">
        <v>0</v>
      </c>
      <c r="I53" s="81"/>
    </row>
    <row r="54" spans="1:9" hidden="1" x14ac:dyDescent="0.25">
      <c r="A54" s="258">
        <v>3234</v>
      </c>
      <c r="B54" s="259">
        <v>3234</v>
      </c>
      <c r="C54" s="260">
        <v>3234</v>
      </c>
      <c r="D54" s="95" t="s">
        <v>60</v>
      </c>
      <c r="E54" s="118" t="e">
        <f>30629.86/K1</f>
        <v>#DIV/0!</v>
      </c>
      <c r="F54" s="81">
        <v>4136.45</v>
      </c>
      <c r="G54" s="81">
        <v>4700</v>
      </c>
      <c r="H54" s="81">
        <v>4883.6400000000003</v>
      </c>
      <c r="I54" s="81"/>
    </row>
    <row r="55" spans="1:9" hidden="1" x14ac:dyDescent="0.25">
      <c r="A55" s="258">
        <v>3235</v>
      </c>
      <c r="B55" s="259">
        <v>3235</v>
      </c>
      <c r="C55" s="260">
        <v>3235</v>
      </c>
      <c r="D55" s="95" t="s">
        <v>61</v>
      </c>
      <c r="E55" s="118" t="e">
        <f>6881.64/K1</f>
        <v>#DIV/0!</v>
      </c>
      <c r="F55" s="81">
        <v>5183.9799999999996</v>
      </c>
      <c r="G55" s="81">
        <v>500</v>
      </c>
      <c r="H55" s="81">
        <v>914.03</v>
      </c>
      <c r="I55" s="81"/>
    </row>
    <row r="56" spans="1:9" hidden="1" x14ac:dyDescent="0.25">
      <c r="A56" s="258">
        <v>3236</v>
      </c>
      <c r="B56" s="259">
        <v>3236</v>
      </c>
      <c r="C56" s="260">
        <v>3236</v>
      </c>
      <c r="D56" s="95" t="s">
        <v>62</v>
      </c>
      <c r="E56" s="118" t="e">
        <f>20950.66/K1</f>
        <v>#DIV/0!</v>
      </c>
      <c r="F56" s="81">
        <v>4076.03</v>
      </c>
      <c r="G56" s="81">
        <v>4300</v>
      </c>
      <c r="H56" s="81">
        <v>3765.67</v>
      </c>
      <c r="I56" s="81"/>
    </row>
    <row r="57" spans="1:9" hidden="1" x14ac:dyDescent="0.25">
      <c r="A57" s="258">
        <v>3237</v>
      </c>
      <c r="B57" s="259">
        <v>3237</v>
      </c>
      <c r="C57" s="260">
        <v>3237</v>
      </c>
      <c r="D57" s="95" t="s">
        <v>63</v>
      </c>
      <c r="E57" s="118" t="e">
        <f>5712.5/K1</f>
        <v>#DIV/0!</v>
      </c>
      <c r="F57" s="81">
        <v>125</v>
      </c>
      <c r="G57" s="81">
        <v>1800</v>
      </c>
      <c r="H57" s="81">
        <v>3518.75</v>
      </c>
      <c r="I57" s="81"/>
    </row>
    <row r="58" spans="1:9" hidden="1" x14ac:dyDescent="0.25">
      <c r="A58" s="258">
        <v>3238</v>
      </c>
      <c r="B58" s="259">
        <v>3238</v>
      </c>
      <c r="C58" s="260">
        <v>3238</v>
      </c>
      <c r="D58" s="95" t="s">
        <v>64</v>
      </c>
      <c r="E58" s="118" t="e">
        <f>12350/K1</f>
        <v>#DIV/0!</v>
      </c>
      <c r="F58" s="81">
        <v>2148.46</v>
      </c>
      <c r="G58" s="81">
        <v>2400</v>
      </c>
      <c r="H58" s="81">
        <v>2598.8000000000002</v>
      </c>
      <c r="I58" s="81"/>
    </row>
    <row r="59" spans="1:9" hidden="1" x14ac:dyDescent="0.25">
      <c r="A59" s="258">
        <v>3239</v>
      </c>
      <c r="B59" s="259">
        <v>3239</v>
      </c>
      <c r="C59" s="260">
        <v>3239</v>
      </c>
      <c r="D59" s="95" t="s">
        <v>65</v>
      </c>
      <c r="E59" s="118" t="e">
        <f>600/K1</f>
        <v>#DIV/0!</v>
      </c>
      <c r="F59" s="81">
        <v>735</v>
      </c>
      <c r="G59" s="81">
        <v>212</v>
      </c>
      <c r="H59" s="81">
        <v>49.78</v>
      </c>
      <c r="I59" s="81"/>
    </row>
    <row r="60" spans="1:9" x14ac:dyDescent="0.25">
      <c r="A60" s="255" t="s">
        <v>336</v>
      </c>
      <c r="B60" s="256"/>
      <c r="C60" s="257"/>
      <c r="D60" s="198" t="s">
        <v>95</v>
      </c>
      <c r="E60" s="199" t="e">
        <f>SUM(E62:E85)</f>
        <v>#DIV/0!</v>
      </c>
      <c r="F60" s="199">
        <f t="shared" ref="F60" si="37">SUM(F61:F64)</f>
        <v>1100.72</v>
      </c>
      <c r="G60" s="199">
        <f>SUM(G61:G64)</f>
        <v>1020</v>
      </c>
      <c r="H60" s="199">
        <f t="shared" ref="H60" si="38">SUM(H61:H64)</f>
        <v>525.35</v>
      </c>
      <c r="I60" s="199">
        <f t="shared" ref="I60" si="39">H60/G60*100</f>
        <v>51.5</v>
      </c>
    </row>
    <row r="61" spans="1:9" hidden="1" x14ac:dyDescent="0.25">
      <c r="A61" s="258">
        <v>3293</v>
      </c>
      <c r="B61" s="259">
        <v>3293</v>
      </c>
      <c r="C61" s="260">
        <v>3293</v>
      </c>
      <c r="D61" s="95" t="s">
        <v>66</v>
      </c>
      <c r="E61" s="118" t="e">
        <f>2824.79/K1</f>
        <v>#DIV/0!</v>
      </c>
      <c r="F61" s="81">
        <v>401.32</v>
      </c>
      <c r="G61" s="81">
        <v>390</v>
      </c>
      <c r="H61" s="81">
        <v>124.88</v>
      </c>
      <c r="I61" s="81"/>
    </row>
    <row r="62" spans="1:9" hidden="1" x14ac:dyDescent="0.25">
      <c r="A62" s="258">
        <v>3294</v>
      </c>
      <c r="B62" s="259">
        <v>3294</v>
      </c>
      <c r="C62" s="260">
        <v>3294</v>
      </c>
      <c r="D62" s="95" t="s">
        <v>67</v>
      </c>
      <c r="E62" s="118" t="e">
        <f>1200/K1</f>
        <v>#DIV/0!</v>
      </c>
      <c r="F62" s="81">
        <v>198.09</v>
      </c>
      <c r="G62" s="81">
        <v>300</v>
      </c>
      <c r="H62" s="81">
        <v>195</v>
      </c>
      <c r="I62" s="81"/>
    </row>
    <row r="63" spans="1:9" hidden="1" x14ac:dyDescent="0.25">
      <c r="A63" s="258">
        <v>3295</v>
      </c>
      <c r="B63" s="259">
        <v>3295</v>
      </c>
      <c r="C63" s="260">
        <v>3295</v>
      </c>
      <c r="D63" s="95" t="s">
        <v>68</v>
      </c>
      <c r="E63" s="118">
        <v>0</v>
      </c>
      <c r="F63" s="81">
        <v>85.94</v>
      </c>
      <c r="G63" s="81">
        <v>130</v>
      </c>
      <c r="H63" s="81">
        <v>13.12</v>
      </c>
      <c r="I63" s="81"/>
    </row>
    <row r="64" spans="1:9" hidden="1" x14ac:dyDescent="0.25">
      <c r="A64" s="258">
        <v>3299</v>
      </c>
      <c r="B64" s="259">
        <v>3299</v>
      </c>
      <c r="C64" s="260">
        <v>3299</v>
      </c>
      <c r="D64" s="95" t="s">
        <v>69</v>
      </c>
      <c r="E64" s="118" t="e">
        <f>1975.51/K1</f>
        <v>#DIV/0!</v>
      </c>
      <c r="F64" s="81">
        <v>415.37</v>
      </c>
      <c r="G64" s="81">
        <v>200</v>
      </c>
      <c r="H64" s="81">
        <v>192.35</v>
      </c>
      <c r="I64" s="81"/>
    </row>
    <row r="65" spans="1:11" x14ac:dyDescent="0.25">
      <c r="A65" s="252">
        <v>34</v>
      </c>
      <c r="B65" s="253"/>
      <c r="C65" s="254"/>
      <c r="D65" s="97" t="s">
        <v>92</v>
      </c>
      <c r="E65" s="117" t="e">
        <f>SUM(E67)</f>
        <v>#DIV/0!</v>
      </c>
      <c r="F65" s="75">
        <f t="shared" ref="F65" si="40">SUM(F67)</f>
        <v>950</v>
      </c>
      <c r="G65" s="75">
        <f t="shared" ref="G65:H65" si="41">SUM(G67)</f>
        <v>1130</v>
      </c>
      <c r="H65" s="75">
        <f t="shared" si="41"/>
        <v>940.32</v>
      </c>
      <c r="I65" s="75">
        <f t="shared" ref="I65:I66" si="42">H65/G65*100</f>
        <v>83.21</v>
      </c>
    </row>
    <row r="66" spans="1:11" x14ac:dyDescent="0.25">
      <c r="A66" s="255" t="s">
        <v>345</v>
      </c>
      <c r="B66" s="256"/>
      <c r="C66" s="257"/>
      <c r="D66" s="198" t="s">
        <v>92</v>
      </c>
      <c r="E66" s="199" t="e">
        <f>SUM(E68:E101)</f>
        <v>#DIV/0!</v>
      </c>
      <c r="F66" s="199">
        <f t="shared" ref="F66:H66" si="43">F67</f>
        <v>950</v>
      </c>
      <c r="G66" s="199">
        <f t="shared" si="43"/>
        <v>1130</v>
      </c>
      <c r="H66" s="199">
        <f t="shared" si="43"/>
        <v>940.32</v>
      </c>
      <c r="I66" s="199">
        <f t="shared" si="42"/>
        <v>83.21</v>
      </c>
    </row>
    <row r="67" spans="1:11" hidden="1" x14ac:dyDescent="0.25">
      <c r="A67" s="258" t="s">
        <v>155</v>
      </c>
      <c r="B67" s="259"/>
      <c r="C67" s="260"/>
      <c r="D67" s="98" t="s">
        <v>70</v>
      </c>
      <c r="E67" s="118" t="e">
        <f>7700/K1</f>
        <v>#DIV/0!</v>
      </c>
      <c r="F67" s="81">
        <v>950</v>
      </c>
      <c r="G67" s="81">
        <v>1130</v>
      </c>
      <c r="H67" s="81">
        <v>940.32</v>
      </c>
      <c r="I67" s="89"/>
    </row>
    <row r="68" spans="1:11" x14ac:dyDescent="0.25">
      <c r="A68" s="267" t="s">
        <v>115</v>
      </c>
      <c r="B68" s="268"/>
      <c r="C68" s="269"/>
      <c r="D68" s="92" t="s">
        <v>116</v>
      </c>
      <c r="E68" s="114" t="e">
        <f>E69</f>
        <v>#DIV/0!</v>
      </c>
      <c r="F68" s="72">
        <f t="shared" ref="F68:H70" si="44">F69</f>
        <v>8497</v>
      </c>
      <c r="G68" s="72">
        <f t="shared" si="44"/>
        <v>9052</v>
      </c>
      <c r="H68" s="72">
        <f t="shared" si="44"/>
        <v>9052</v>
      </c>
      <c r="I68" s="72">
        <f t="shared" ref="I68:I72" si="45">H68/G68*100</f>
        <v>100</v>
      </c>
    </row>
    <row r="69" spans="1:11" ht="15" customHeight="1" x14ac:dyDescent="0.25">
      <c r="A69" s="270" t="s">
        <v>112</v>
      </c>
      <c r="B69" s="271"/>
      <c r="C69" s="272"/>
      <c r="D69" s="84" t="s">
        <v>113</v>
      </c>
      <c r="E69" s="115" t="e">
        <f>E70</f>
        <v>#DIV/0!</v>
      </c>
      <c r="F69" s="73">
        <f t="shared" si="44"/>
        <v>8497</v>
      </c>
      <c r="G69" s="73">
        <f t="shared" si="44"/>
        <v>9052</v>
      </c>
      <c r="H69" s="73">
        <f t="shared" si="44"/>
        <v>9052</v>
      </c>
      <c r="I69" s="73">
        <f t="shared" si="45"/>
        <v>100</v>
      </c>
    </row>
    <row r="70" spans="1:11" x14ac:dyDescent="0.25">
      <c r="A70" s="261">
        <v>3</v>
      </c>
      <c r="B70" s="262"/>
      <c r="C70" s="263"/>
      <c r="D70" s="93" t="s">
        <v>19</v>
      </c>
      <c r="E70" s="116" t="e">
        <f>E71</f>
        <v>#DIV/0!</v>
      </c>
      <c r="F70" s="74">
        <f t="shared" si="44"/>
        <v>8497</v>
      </c>
      <c r="G70" s="74">
        <f t="shared" si="44"/>
        <v>9052</v>
      </c>
      <c r="H70" s="74">
        <f t="shared" si="44"/>
        <v>9052</v>
      </c>
      <c r="I70" s="74">
        <f t="shared" si="45"/>
        <v>100</v>
      </c>
    </row>
    <row r="71" spans="1:11" x14ac:dyDescent="0.25">
      <c r="A71" s="252">
        <v>32</v>
      </c>
      <c r="B71" s="253"/>
      <c r="C71" s="254"/>
      <c r="D71" s="97" t="s">
        <v>32</v>
      </c>
      <c r="E71" s="120" t="e">
        <f>SUM(E73:E74)</f>
        <v>#DIV/0!</v>
      </c>
      <c r="F71" s="76">
        <f t="shared" ref="F71" si="46">SUM(F73:F74)</f>
        <v>8497</v>
      </c>
      <c r="G71" s="76">
        <f t="shared" ref="G71:H71" si="47">SUM(G73:G74)</f>
        <v>9052</v>
      </c>
      <c r="H71" s="76">
        <f t="shared" si="47"/>
        <v>9052</v>
      </c>
      <c r="I71" s="76">
        <f t="shared" si="45"/>
        <v>100</v>
      </c>
    </row>
    <row r="72" spans="1:11" x14ac:dyDescent="0.25">
      <c r="A72" s="255">
        <v>322</v>
      </c>
      <c r="B72" s="256"/>
      <c r="C72" s="257"/>
      <c r="D72" s="198" t="s">
        <v>32</v>
      </c>
      <c r="E72" s="199" t="e">
        <f>SUM(E74:E106)</f>
        <v>#DIV/0!</v>
      </c>
      <c r="F72" s="199">
        <f t="shared" ref="F72" si="48">SUM(F73:F74)</f>
        <v>8497</v>
      </c>
      <c r="G72" s="199">
        <f t="shared" ref="G72:H72" si="49">SUM(G73:G74)</f>
        <v>9052</v>
      </c>
      <c r="H72" s="199">
        <f t="shared" si="49"/>
        <v>9052</v>
      </c>
      <c r="I72" s="199">
        <f t="shared" si="45"/>
        <v>100</v>
      </c>
    </row>
    <row r="73" spans="1:11" hidden="1" x14ac:dyDescent="0.25">
      <c r="A73" s="276">
        <v>3224</v>
      </c>
      <c r="B73" s="277"/>
      <c r="C73" s="278"/>
      <c r="D73" s="95" t="s">
        <v>72</v>
      </c>
      <c r="E73" s="118" t="e">
        <f>18000/K1</f>
        <v>#DIV/0!</v>
      </c>
      <c r="F73" s="81">
        <v>2216.54</v>
      </c>
      <c r="G73" s="81">
        <v>3100</v>
      </c>
      <c r="H73" s="81">
        <v>3358.47</v>
      </c>
      <c r="I73" s="89"/>
    </row>
    <row r="74" spans="1:11" hidden="1" x14ac:dyDescent="0.25">
      <c r="A74" s="276">
        <v>3232</v>
      </c>
      <c r="B74" s="277"/>
      <c r="C74" s="278"/>
      <c r="D74" s="98" t="s">
        <v>73</v>
      </c>
      <c r="E74" s="118" t="e">
        <f>43243.9/K1</f>
        <v>#DIV/0!</v>
      </c>
      <c r="F74" s="81">
        <v>6280.46</v>
      </c>
      <c r="G74" s="81">
        <v>5952</v>
      </c>
      <c r="H74" s="81">
        <v>5693.53</v>
      </c>
      <c r="I74" s="89"/>
    </row>
    <row r="75" spans="1:11" ht="15" customHeight="1" x14ac:dyDescent="0.25">
      <c r="A75" s="267" t="s">
        <v>119</v>
      </c>
      <c r="B75" s="268"/>
      <c r="C75" s="269"/>
      <c r="D75" s="92" t="s">
        <v>55</v>
      </c>
      <c r="E75" s="114">
        <v>0</v>
      </c>
      <c r="F75" s="83"/>
      <c r="G75" s="83">
        <v>0</v>
      </c>
      <c r="H75" s="83"/>
      <c r="I75" s="64"/>
    </row>
    <row r="76" spans="1:11" ht="15" customHeight="1" x14ac:dyDescent="0.25">
      <c r="A76" s="270" t="s">
        <v>112</v>
      </c>
      <c r="B76" s="271"/>
      <c r="C76" s="272"/>
      <c r="D76" s="84" t="s">
        <v>113</v>
      </c>
      <c r="E76" s="115">
        <v>0</v>
      </c>
      <c r="F76" s="84"/>
      <c r="G76" s="84">
        <v>0</v>
      </c>
      <c r="H76" s="84"/>
      <c r="I76" s="61"/>
    </row>
    <row r="77" spans="1:11" x14ac:dyDescent="0.25">
      <c r="A77" s="261">
        <v>3</v>
      </c>
      <c r="B77" s="262"/>
      <c r="C77" s="263"/>
      <c r="D77" s="93" t="s">
        <v>19</v>
      </c>
      <c r="E77" s="116">
        <v>0</v>
      </c>
      <c r="F77" s="85"/>
      <c r="G77" s="85">
        <v>0</v>
      </c>
      <c r="H77" s="85"/>
      <c r="I77" s="65"/>
    </row>
    <row r="78" spans="1:11" x14ac:dyDescent="0.25">
      <c r="A78" s="276">
        <v>32</v>
      </c>
      <c r="B78" s="277"/>
      <c r="C78" s="278"/>
      <c r="D78" s="95" t="s">
        <v>32</v>
      </c>
      <c r="E78" s="118"/>
      <c r="F78" s="81"/>
      <c r="G78" s="81">
        <v>0</v>
      </c>
      <c r="H78" s="81"/>
      <c r="I78" s="63"/>
    </row>
    <row r="79" spans="1:11" ht="45" customHeight="1" x14ac:dyDescent="0.25">
      <c r="A79" s="264" t="s">
        <v>114</v>
      </c>
      <c r="B79" s="265"/>
      <c r="C79" s="266"/>
      <c r="D79" s="96" t="s">
        <v>74</v>
      </c>
      <c r="E79" s="119" t="e">
        <f>E80+E100+E107+E113+#REF!+E120+E147+E178+#REF!+#REF!</f>
        <v>#DIV/0!</v>
      </c>
      <c r="F79" s="77">
        <f>F80+F94+F100+F107+F113+F120+F147+F178</f>
        <v>69122.91</v>
      </c>
      <c r="G79" s="77">
        <f>G80+G94+G100+G107+G113+G120+G147+G178</f>
        <v>64119.02</v>
      </c>
      <c r="H79" s="77">
        <f t="shared" ref="H79" si="50">H80+H94+H100+H107+H113+H120+H147+H178</f>
        <v>86133.13</v>
      </c>
      <c r="I79" s="77">
        <f t="shared" ref="I79:I84" si="51">H79/G79*100</f>
        <v>134.33000000000001</v>
      </c>
      <c r="K79" s="40"/>
    </row>
    <row r="80" spans="1:11" ht="14.25" customHeight="1" x14ac:dyDescent="0.25">
      <c r="A80" s="267" t="s">
        <v>86</v>
      </c>
      <c r="B80" s="268"/>
      <c r="C80" s="269"/>
      <c r="D80" s="92" t="s">
        <v>117</v>
      </c>
      <c r="E80" s="114" t="e">
        <f>E82</f>
        <v>#DIV/0!</v>
      </c>
      <c r="F80" s="72">
        <f t="shared" ref="F80" si="52">F82</f>
        <v>705.29</v>
      </c>
      <c r="G80" s="72">
        <f t="shared" ref="G80:H80" si="53">G82</f>
        <v>666</v>
      </c>
      <c r="H80" s="72">
        <f t="shared" si="53"/>
        <v>378.49</v>
      </c>
      <c r="I80" s="72">
        <f t="shared" si="51"/>
        <v>56.83</v>
      </c>
    </row>
    <row r="81" spans="1:9" ht="15" customHeight="1" x14ac:dyDescent="0.25">
      <c r="A81" s="270" t="s">
        <v>118</v>
      </c>
      <c r="B81" s="271"/>
      <c r="C81" s="272"/>
      <c r="D81" s="84" t="s">
        <v>17</v>
      </c>
      <c r="E81" s="115" t="e">
        <f>E82</f>
        <v>#DIV/0!</v>
      </c>
      <c r="F81" s="73">
        <f t="shared" ref="F81:H81" si="54">F82</f>
        <v>705.29</v>
      </c>
      <c r="G81" s="73">
        <f t="shared" si="54"/>
        <v>666</v>
      </c>
      <c r="H81" s="73">
        <f t="shared" si="54"/>
        <v>378.49</v>
      </c>
      <c r="I81" s="73">
        <f t="shared" si="51"/>
        <v>56.83</v>
      </c>
    </row>
    <row r="82" spans="1:9" x14ac:dyDescent="0.25">
      <c r="A82" s="261">
        <v>3</v>
      </c>
      <c r="B82" s="262"/>
      <c r="C82" s="263"/>
      <c r="D82" s="93" t="s">
        <v>19</v>
      </c>
      <c r="E82" s="116" t="e">
        <f>E83</f>
        <v>#DIV/0!</v>
      </c>
      <c r="F82" s="74">
        <f t="shared" ref="F82:H82" si="55">F83</f>
        <v>705.29</v>
      </c>
      <c r="G82" s="74">
        <f t="shared" si="55"/>
        <v>666</v>
      </c>
      <c r="H82" s="74">
        <f t="shared" si="55"/>
        <v>378.49</v>
      </c>
      <c r="I82" s="74">
        <f t="shared" si="51"/>
        <v>56.83</v>
      </c>
    </row>
    <row r="83" spans="1:9" x14ac:dyDescent="0.25">
      <c r="A83" s="252">
        <v>32</v>
      </c>
      <c r="B83" s="253"/>
      <c r="C83" s="254"/>
      <c r="D83" s="97" t="s">
        <v>32</v>
      </c>
      <c r="E83" s="117" t="e">
        <f>SUM(E85:E93)</f>
        <v>#DIV/0!</v>
      </c>
      <c r="F83" s="82">
        <f>F84+F87+F91+F89</f>
        <v>705.29</v>
      </c>
      <c r="G83" s="82">
        <f t="shared" ref="G83:H83" si="56">G84+G87+G91</f>
        <v>666</v>
      </c>
      <c r="H83" s="82">
        <f t="shared" si="56"/>
        <v>378.49</v>
      </c>
      <c r="I83" s="75">
        <f t="shared" si="51"/>
        <v>56.83</v>
      </c>
    </row>
    <row r="84" spans="1:9" x14ac:dyDescent="0.25">
      <c r="A84" s="255" t="s">
        <v>305</v>
      </c>
      <c r="B84" s="256"/>
      <c r="C84" s="257"/>
      <c r="D84" s="198" t="s">
        <v>393</v>
      </c>
      <c r="E84" s="199" t="e">
        <f>SUM(E86:E119)</f>
        <v>#DIV/0!</v>
      </c>
      <c r="F84" s="199">
        <f t="shared" ref="F84" si="57">SUM(F85:F86)</f>
        <v>71.5</v>
      </c>
      <c r="G84" s="199">
        <f t="shared" ref="G84:H84" si="58">SUM(G85:G86)</f>
        <v>0</v>
      </c>
      <c r="H84" s="199">
        <f t="shared" si="58"/>
        <v>0</v>
      </c>
      <c r="I84" s="199" t="e">
        <f t="shared" si="51"/>
        <v>#DIV/0!</v>
      </c>
    </row>
    <row r="85" spans="1:9" hidden="1" x14ac:dyDescent="0.25">
      <c r="A85" s="258">
        <v>3211</v>
      </c>
      <c r="B85" s="259"/>
      <c r="C85" s="260"/>
      <c r="D85" s="95" t="s">
        <v>52</v>
      </c>
      <c r="E85" s="118"/>
      <c r="F85" s="81">
        <v>71.5</v>
      </c>
      <c r="G85" s="81">
        <v>0</v>
      </c>
      <c r="H85" s="81">
        <v>0</v>
      </c>
      <c r="I85" s="89"/>
    </row>
    <row r="86" spans="1:9" hidden="1" x14ac:dyDescent="0.25">
      <c r="A86" s="258">
        <v>3213</v>
      </c>
      <c r="B86" s="259">
        <v>3213</v>
      </c>
      <c r="C86" s="260">
        <v>3213</v>
      </c>
      <c r="D86" s="95" t="s">
        <v>53</v>
      </c>
      <c r="E86" s="118"/>
      <c r="F86" s="81">
        <v>0</v>
      </c>
      <c r="G86" s="81">
        <v>0</v>
      </c>
      <c r="H86" s="81">
        <v>0</v>
      </c>
      <c r="I86" s="89"/>
    </row>
    <row r="87" spans="1:9" x14ac:dyDescent="0.25">
      <c r="A87" s="255">
        <v>322</v>
      </c>
      <c r="B87" s="256"/>
      <c r="C87" s="257"/>
      <c r="D87" s="198" t="s">
        <v>32</v>
      </c>
      <c r="E87" s="199" t="e">
        <f>SUM(E92:E119)</f>
        <v>#DIV/0!</v>
      </c>
      <c r="F87" s="199">
        <f t="shared" ref="F87:H87" si="59">F88</f>
        <v>0</v>
      </c>
      <c r="G87" s="199">
        <f t="shared" si="59"/>
        <v>0</v>
      </c>
      <c r="H87" s="199">
        <f t="shared" si="59"/>
        <v>0</v>
      </c>
      <c r="I87" s="199" t="e">
        <f t="shared" ref="I87" si="60">H87/G87*100</f>
        <v>#DIV/0!</v>
      </c>
    </row>
    <row r="88" spans="1:9" hidden="1" x14ac:dyDescent="0.25">
      <c r="A88" s="258">
        <v>3221</v>
      </c>
      <c r="B88" s="259">
        <v>3221</v>
      </c>
      <c r="C88" s="260">
        <v>3221</v>
      </c>
      <c r="D88" s="95" t="s">
        <v>54</v>
      </c>
      <c r="E88" s="118"/>
      <c r="F88" s="81">
        <v>0</v>
      </c>
      <c r="G88" s="81">
        <v>0</v>
      </c>
      <c r="H88" s="81">
        <v>0</v>
      </c>
      <c r="I88" s="89"/>
    </row>
    <row r="89" spans="1:9" x14ac:dyDescent="0.25">
      <c r="A89" s="255" t="s">
        <v>320</v>
      </c>
      <c r="B89" s="256"/>
      <c r="C89" s="257"/>
      <c r="D89" s="198" t="s">
        <v>389</v>
      </c>
      <c r="E89" s="199">
        <f t="shared" ref="E89:F89" si="61">SUM(E90)</f>
        <v>0</v>
      </c>
      <c r="F89" s="199">
        <f t="shared" si="61"/>
        <v>134.38</v>
      </c>
      <c r="G89" s="199">
        <f>SUM(G90)</f>
        <v>0</v>
      </c>
      <c r="H89" s="199">
        <f t="shared" ref="H89" si="62">G89/F89*100</f>
        <v>0</v>
      </c>
      <c r="I89"/>
    </row>
    <row r="90" spans="1:9" x14ac:dyDescent="0.25">
      <c r="A90" s="249" t="s">
        <v>185</v>
      </c>
      <c r="B90" s="250">
        <v>3221</v>
      </c>
      <c r="C90" s="251">
        <v>3221</v>
      </c>
      <c r="D90" s="216" t="s">
        <v>63</v>
      </c>
      <c r="E90" s="217"/>
      <c r="F90" s="218">
        <v>134.38</v>
      </c>
      <c r="G90" s="218">
        <v>0</v>
      </c>
      <c r="H90" s="81"/>
      <c r="I90"/>
    </row>
    <row r="91" spans="1:9" x14ac:dyDescent="0.25">
      <c r="A91" s="255" t="s">
        <v>336</v>
      </c>
      <c r="B91" s="256"/>
      <c r="C91" s="257"/>
      <c r="D91" s="198" t="s">
        <v>95</v>
      </c>
      <c r="E91" s="199" t="e">
        <f>SUM(E93:E119)</f>
        <v>#DIV/0!</v>
      </c>
      <c r="F91" s="199">
        <f t="shared" ref="F91" si="63">SUM(F92:F93)</f>
        <v>499.41</v>
      </c>
      <c r="G91" s="199">
        <f t="shared" ref="G91:H91" si="64">SUM(G92:G93)</f>
        <v>666</v>
      </c>
      <c r="H91" s="199">
        <f t="shared" si="64"/>
        <v>378.49</v>
      </c>
      <c r="I91" s="199">
        <f t="shared" ref="I91" si="65">H91/G91*100</f>
        <v>56.83</v>
      </c>
    </row>
    <row r="92" spans="1:9" hidden="1" x14ac:dyDescent="0.25">
      <c r="A92" s="258" t="s">
        <v>156</v>
      </c>
      <c r="B92" s="259">
        <v>3223</v>
      </c>
      <c r="C92" s="260">
        <v>3223</v>
      </c>
      <c r="D92" s="98" t="s">
        <v>66</v>
      </c>
      <c r="E92" s="118"/>
      <c r="F92" s="81">
        <v>499.41</v>
      </c>
      <c r="G92" s="81">
        <v>0</v>
      </c>
      <c r="H92" s="81"/>
      <c r="I92" s="89"/>
    </row>
    <row r="93" spans="1:9" hidden="1" x14ac:dyDescent="0.25">
      <c r="A93" s="258" t="s">
        <v>158</v>
      </c>
      <c r="B93" s="259">
        <v>3213</v>
      </c>
      <c r="C93" s="260">
        <v>3213</v>
      </c>
      <c r="D93" s="95" t="s">
        <v>77</v>
      </c>
      <c r="E93" s="118" t="e">
        <f>5000/K1</f>
        <v>#DIV/0!</v>
      </c>
      <c r="F93" s="81">
        <v>0</v>
      </c>
      <c r="G93" s="81">
        <v>666</v>
      </c>
      <c r="H93" s="81">
        <v>378.49</v>
      </c>
      <c r="I93" s="89"/>
    </row>
    <row r="94" spans="1:9" ht="24.75" customHeight="1" x14ac:dyDescent="0.25">
      <c r="A94" s="267" t="s">
        <v>400</v>
      </c>
      <c r="B94" s="268"/>
      <c r="C94" s="269"/>
      <c r="D94" s="92" t="s">
        <v>401</v>
      </c>
      <c r="E94" s="114" t="e">
        <f>E95</f>
        <v>#REF!</v>
      </c>
      <c r="F94" s="72">
        <f t="shared" ref="F94:H96" si="66">F95</f>
        <v>100</v>
      </c>
      <c r="G94" s="72">
        <f t="shared" si="66"/>
        <v>0</v>
      </c>
      <c r="H94" s="72">
        <f t="shared" si="66"/>
        <v>0</v>
      </c>
      <c r="I94" s="72" t="e">
        <f t="shared" ref="I94:I98" si="67">H94/G94*100</f>
        <v>#DIV/0!</v>
      </c>
    </row>
    <row r="95" spans="1:9" ht="15" customHeight="1" x14ac:dyDescent="0.25">
      <c r="A95" s="270" t="s">
        <v>118</v>
      </c>
      <c r="B95" s="271"/>
      <c r="C95" s="272"/>
      <c r="D95" s="84" t="s">
        <v>17</v>
      </c>
      <c r="E95" s="115" t="e">
        <f>E96</f>
        <v>#REF!</v>
      </c>
      <c r="F95" s="73">
        <f t="shared" si="66"/>
        <v>100</v>
      </c>
      <c r="G95" s="73">
        <f t="shared" si="66"/>
        <v>0</v>
      </c>
      <c r="H95" s="73">
        <f t="shared" si="66"/>
        <v>0</v>
      </c>
      <c r="I95" s="73" t="e">
        <f t="shared" si="67"/>
        <v>#DIV/0!</v>
      </c>
    </row>
    <row r="96" spans="1:9" x14ac:dyDescent="0.25">
      <c r="A96" s="261">
        <v>3</v>
      </c>
      <c r="B96" s="262"/>
      <c r="C96" s="263"/>
      <c r="D96" s="201" t="s">
        <v>19</v>
      </c>
      <c r="E96" s="116" t="e">
        <f>E97</f>
        <v>#REF!</v>
      </c>
      <c r="F96" s="74">
        <f t="shared" si="66"/>
        <v>100</v>
      </c>
      <c r="G96" s="74">
        <f t="shared" si="66"/>
        <v>0</v>
      </c>
      <c r="H96" s="74">
        <f t="shared" si="66"/>
        <v>0</v>
      </c>
      <c r="I96" s="74" t="e">
        <f t="shared" si="67"/>
        <v>#DIV/0!</v>
      </c>
    </row>
    <row r="97" spans="1:9" x14ac:dyDescent="0.25">
      <c r="A97" s="252">
        <v>32</v>
      </c>
      <c r="B97" s="253"/>
      <c r="C97" s="254"/>
      <c r="D97" s="97" t="s">
        <v>32</v>
      </c>
      <c r="E97" s="117" t="e">
        <f>SUM(E99:E100)</f>
        <v>#REF!</v>
      </c>
      <c r="F97" s="75">
        <f>SUM(F99:F100)</f>
        <v>100</v>
      </c>
      <c r="G97" s="75">
        <f>G98</f>
        <v>0</v>
      </c>
      <c r="H97" s="75">
        <f>SUM(H99:H100)</f>
        <v>0</v>
      </c>
      <c r="I97" s="75" t="e">
        <f t="shared" si="67"/>
        <v>#DIV/0!</v>
      </c>
    </row>
    <row r="98" spans="1:9" x14ac:dyDescent="0.25">
      <c r="A98" s="255" t="s">
        <v>320</v>
      </c>
      <c r="B98" s="256"/>
      <c r="C98" s="257"/>
      <c r="D98" s="198" t="s">
        <v>389</v>
      </c>
      <c r="E98" s="199" t="e">
        <f>SUM(E100:E119)</f>
        <v>#DIV/0!</v>
      </c>
      <c r="F98" s="199">
        <f>SUM(F99:F100)</f>
        <v>100</v>
      </c>
      <c r="G98" s="199">
        <f>G99</f>
        <v>0</v>
      </c>
      <c r="H98" s="199">
        <f>SUM(H99:H100)</f>
        <v>0</v>
      </c>
      <c r="I98" s="199" t="e">
        <f t="shared" si="67"/>
        <v>#DIV/0!</v>
      </c>
    </row>
    <row r="99" spans="1:9" hidden="1" x14ac:dyDescent="0.25">
      <c r="A99" s="258" t="s">
        <v>185</v>
      </c>
      <c r="B99" s="259"/>
      <c r="C99" s="260"/>
      <c r="D99" s="95" t="s">
        <v>63</v>
      </c>
      <c r="E99" s="118" t="e">
        <f>7978.8/#REF!</f>
        <v>#REF!</v>
      </c>
      <c r="F99" s="81">
        <v>100</v>
      </c>
      <c r="G99" s="81">
        <v>0</v>
      </c>
      <c r="H99" s="81">
        <v>0</v>
      </c>
      <c r="I99" s="81"/>
    </row>
    <row r="100" spans="1:9" ht="14.25" customHeight="1" x14ac:dyDescent="0.25">
      <c r="A100" s="267" t="s">
        <v>75</v>
      </c>
      <c r="B100" s="268"/>
      <c r="C100" s="269"/>
      <c r="D100" s="92" t="s">
        <v>120</v>
      </c>
      <c r="E100" s="114" t="e">
        <f>E101</f>
        <v>#DIV/0!</v>
      </c>
      <c r="F100" s="72">
        <f t="shared" ref="F100:H100" si="68">F101</f>
        <v>0</v>
      </c>
      <c r="G100" s="72">
        <f t="shared" si="68"/>
        <v>0</v>
      </c>
      <c r="H100" s="72">
        <f t="shared" si="68"/>
        <v>0</v>
      </c>
      <c r="I100" s="72" t="e">
        <f t="shared" ref="I100:I104" si="69">H100/G100*100</f>
        <v>#DIV/0!</v>
      </c>
    </row>
    <row r="101" spans="1:9" ht="15" customHeight="1" x14ac:dyDescent="0.25">
      <c r="A101" s="270" t="s">
        <v>118</v>
      </c>
      <c r="B101" s="271"/>
      <c r="C101" s="272"/>
      <c r="D101" s="84" t="s">
        <v>17</v>
      </c>
      <c r="E101" s="115" t="e">
        <f>E102</f>
        <v>#DIV/0!</v>
      </c>
      <c r="F101" s="73">
        <f t="shared" ref="F101:H101" si="70">F102</f>
        <v>0</v>
      </c>
      <c r="G101" s="73">
        <f t="shared" si="70"/>
        <v>0</v>
      </c>
      <c r="H101" s="73">
        <f t="shared" si="70"/>
        <v>0</v>
      </c>
      <c r="I101" s="73" t="e">
        <f t="shared" si="69"/>
        <v>#DIV/0!</v>
      </c>
    </row>
    <row r="102" spans="1:9" x14ac:dyDescent="0.25">
      <c r="A102" s="261">
        <v>3</v>
      </c>
      <c r="B102" s="262"/>
      <c r="C102" s="263"/>
      <c r="D102" s="93" t="s">
        <v>19</v>
      </c>
      <c r="E102" s="116" t="e">
        <f>E103</f>
        <v>#DIV/0!</v>
      </c>
      <c r="F102" s="74">
        <f t="shared" ref="F102:H102" si="71">F103</f>
        <v>0</v>
      </c>
      <c r="G102" s="74">
        <f t="shared" si="71"/>
        <v>0</v>
      </c>
      <c r="H102" s="74">
        <f t="shared" si="71"/>
        <v>0</v>
      </c>
      <c r="I102" s="74" t="e">
        <f t="shared" si="69"/>
        <v>#DIV/0!</v>
      </c>
    </row>
    <row r="103" spans="1:9" x14ac:dyDescent="0.25">
      <c r="A103" s="252">
        <v>32</v>
      </c>
      <c r="B103" s="253"/>
      <c r="C103" s="254"/>
      <c r="D103" s="97" t="s">
        <v>32</v>
      </c>
      <c r="E103" s="117" t="e">
        <f>SUM(E105:E106)</f>
        <v>#DIV/0!</v>
      </c>
      <c r="F103" s="75">
        <f>SUM(F105:F106)</f>
        <v>0</v>
      </c>
      <c r="G103" s="75">
        <f>SUM(G105:G106)</f>
        <v>0</v>
      </c>
      <c r="H103" s="75">
        <f>SUM(H105:H106)</f>
        <v>0</v>
      </c>
      <c r="I103" s="75" t="e">
        <f t="shared" si="69"/>
        <v>#DIV/0!</v>
      </c>
    </row>
    <row r="104" spans="1:9" x14ac:dyDescent="0.25">
      <c r="A104" s="255" t="s">
        <v>336</v>
      </c>
      <c r="B104" s="256"/>
      <c r="C104" s="257"/>
      <c r="D104" s="198" t="s">
        <v>95</v>
      </c>
      <c r="E104" s="199" t="e">
        <f>SUM(E106:E119)</f>
        <v>#DIV/0!</v>
      </c>
      <c r="F104" s="199">
        <f>SUM(F105:F106)</f>
        <v>0</v>
      </c>
      <c r="G104" s="199">
        <f>SUM(G105:G106)</f>
        <v>0</v>
      </c>
      <c r="H104" s="199">
        <f>SUM(H105:H106)</f>
        <v>0</v>
      </c>
      <c r="I104" s="199" t="e">
        <f t="shared" si="69"/>
        <v>#DIV/0!</v>
      </c>
    </row>
    <row r="105" spans="1:9" hidden="1" x14ac:dyDescent="0.25">
      <c r="A105" s="258" t="s">
        <v>157</v>
      </c>
      <c r="B105" s="259"/>
      <c r="C105" s="260"/>
      <c r="D105" s="95" t="s">
        <v>76</v>
      </c>
      <c r="E105" s="118" t="e">
        <f>7978.8/K1</f>
        <v>#DIV/0!</v>
      </c>
      <c r="F105" s="81">
        <v>0</v>
      </c>
      <c r="G105" s="81">
        <v>0</v>
      </c>
      <c r="H105" s="81">
        <v>0</v>
      </c>
      <c r="I105" s="81"/>
    </row>
    <row r="106" spans="1:9" hidden="1" x14ac:dyDescent="0.25">
      <c r="A106" s="258" t="s">
        <v>158</v>
      </c>
      <c r="B106" s="259">
        <v>3213</v>
      </c>
      <c r="C106" s="260">
        <v>3213</v>
      </c>
      <c r="D106" s="95" t="s">
        <v>77</v>
      </c>
      <c r="E106" s="118" t="e">
        <f>3329.31/K1</f>
        <v>#DIV/0!</v>
      </c>
      <c r="F106" s="81">
        <v>0</v>
      </c>
      <c r="G106" s="81">
        <v>0</v>
      </c>
      <c r="H106" s="81">
        <v>0</v>
      </c>
      <c r="I106" s="81"/>
    </row>
    <row r="107" spans="1:9" ht="14.25" customHeight="1" x14ac:dyDescent="0.25">
      <c r="A107" s="267" t="s">
        <v>78</v>
      </c>
      <c r="B107" s="268"/>
      <c r="C107" s="269"/>
      <c r="D107" s="92" t="s">
        <v>121</v>
      </c>
      <c r="E107" s="114" t="e">
        <f>E108</f>
        <v>#DIV/0!</v>
      </c>
      <c r="F107" s="72">
        <f t="shared" ref="F107:H107" si="72">F108</f>
        <v>412.25</v>
      </c>
      <c r="G107" s="72">
        <f t="shared" si="72"/>
        <v>720</v>
      </c>
      <c r="H107" s="72">
        <f t="shared" si="72"/>
        <v>413.25</v>
      </c>
      <c r="I107" s="72">
        <f t="shared" ref="I107:I111" si="73">H107/G107*100</f>
        <v>57.4</v>
      </c>
    </row>
    <row r="108" spans="1:9" ht="15" customHeight="1" x14ac:dyDescent="0.25">
      <c r="A108" s="270" t="s">
        <v>118</v>
      </c>
      <c r="B108" s="271"/>
      <c r="C108" s="272"/>
      <c r="D108" s="84" t="s">
        <v>17</v>
      </c>
      <c r="E108" s="115" t="e">
        <f>E109</f>
        <v>#DIV/0!</v>
      </c>
      <c r="F108" s="73">
        <f t="shared" ref="F108:H108" si="74">F109</f>
        <v>412.25</v>
      </c>
      <c r="G108" s="73">
        <f t="shared" si="74"/>
        <v>720</v>
      </c>
      <c r="H108" s="73">
        <f t="shared" si="74"/>
        <v>413.25</v>
      </c>
      <c r="I108" s="73">
        <f t="shared" si="73"/>
        <v>57.4</v>
      </c>
    </row>
    <row r="109" spans="1:9" x14ac:dyDescent="0.25">
      <c r="A109" s="261">
        <v>3</v>
      </c>
      <c r="B109" s="262"/>
      <c r="C109" s="263"/>
      <c r="D109" s="93" t="s">
        <v>19</v>
      </c>
      <c r="E109" s="116" t="e">
        <f>E110</f>
        <v>#DIV/0!</v>
      </c>
      <c r="F109" s="74">
        <f t="shared" ref="F109:H109" si="75">F110</f>
        <v>412.25</v>
      </c>
      <c r="G109" s="74">
        <f t="shared" si="75"/>
        <v>720</v>
      </c>
      <c r="H109" s="74">
        <f t="shared" si="75"/>
        <v>413.25</v>
      </c>
      <c r="I109" s="74">
        <f t="shared" si="73"/>
        <v>57.4</v>
      </c>
    </row>
    <row r="110" spans="1:9" x14ac:dyDescent="0.25">
      <c r="A110" s="252">
        <v>32</v>
      </c>
      <c r="B110" s="253"/>
      <c r="C110" s="254"/>
      <c r="D110" s="97" t="s">
        <v>32</v>
      </c>
      <c r="E110" s="117" t="e">
        <f>E112</f>
        <v>#DIV/0!</v>
      </c>
      <c r="F110" s="75">
        <f>F112</f>
        <v>412.25</v>
      </c>
      <c r="G110" s="75">
        <f>G112</f>
        <v>720</v>
      </c>
      <c r="H110" s="75">
        <f>H112</f>
        <v>413.25</v>
      </c>
      <c r="I110" s="75">
        <f t="shared" si="73"/>
        <v>57.4</v>
      </c>
    </row>
    <row r="111" spans="1:9" x14ac:dyDescent="0.25">
      <c r="A111" s="255" t="s">
        <v>336</v>
      </c>
      <c r="B111" s="256"/>
      <c r="C111" s="257"/>
      <c r="D111" s="198" t="s">
        <v>95</v>
      </c>
      <c r="E111" s="199" t="e">
        <f>SUM(E113:E121)</f>
        <v>#DIV/0!</v>
      </c>
      <c r="F111" s="199">
        <f t="shared" ref="F111:H111" si="76">F112</f>
        <v>412.25</v>
      </c>
      <c r="G111" s="199">
        <f t="shared" si="76"/>
        <v>720</v>
      </c>
      <c r="H111" s="199">
        <f t="shared" si="76"/>
        <v>413.25</v>
      </c>
      <c r="I111" s="199">
        <f t="shared" si="73"/>
        <v>57.4</v>
      </c>
    </row>
    <row r="112" spans="1:9" hidden="1" x14ac:dyDescent="0.25">
      <c r="A112" s="258" t="s">
        <v>158</v>
      </c>
      <c r="B112" s="259"/>
      <c r="C112" s="260"/>
      <c r="D112" s="98" t="s">
        <v>77</v>
      </c>
      <c r="E112" s="118" t="e">
        <f>4000/K1</f>
        <v>#DIV/0!</v>
      </c>
      <c r="F112" s="81">
        <v>412.25</v>
      </c>
      <c r="G112" s="81">
        <v>720</v>
      </c>
      <c r="H112" s="81">
        <v>413.25</v>
      </c>
      <c r="I112" s="89">
        <v>0</v>
      </c>
    </row>
    <row r="113" spans="1:9" ht="14.25" customHeight="1" x14ac:dyDescent="0.25">
      <c r="A113" s="267" t="s">
        <v>124</v>
      </c>
      <c r="B113" s="268"/>
      <c r="C113" s="269"/>
      <c r="D113" s="92" t="s">
        <v>123</v>
      </c>
      <c r="E113" s="114">
        <f>E114</f>
        <v>530.89</v>
      </c>
      <c r="F113" s="72">
        <f t="shared" ref="F113:H113" si="77">F114</f>
        <v>531</v>
      </c>
      <c r="G113" s="72">
        <f t="shared" si="77"/>
        <v>531</v>
      </c>
      <c r="H113" s="72">
        <f t="shared" si="77"/>
        <v>531</v>
      </c>
      <c r="I113" s="72">
        <f t="shared" ref="I113:I117" si="78">H113/G113*100</f>
        <v>100</v>
      </c>
    </row>
    <row r="114" spans="1:9" ht="15" customHeight="1" x14ac:dyDescent="0.25">
      <c r="A114" s="270" t="s">
        <v>118</v>
      </c>
      <c r="B114" s="271"/>
      <c r="C114" s="272"/>
      <c r="D114" s="84" t="s">
        <v>17</v>
      </c>
      <c r="E114" s="115">
        <f>E115</f>
        <v>530.89</v>
      </c>
      <c r="F114" s="73">
        <f t="shared" ref="F114:H116" si="79">F115</f>
        <v>531</v>
      </c>
      <c r="G114" s="73">
        <f t="shared" si="79"/>
        <v>531</v>
      </c>
      <c r="H114" s="73">
        <f t="shared" si="79"/>
        <v>531</v>
      </c>
      <c r="I114" s="73">
        <f t="shared" si="78"/>
        <v>100</v>
      </c>
    </row>
    <row r="115" spans="1:9" x14ac:dyDescent="0.25">
      <c r="A115" s="261">
        <v>3</v>
      </c>
      <c r="B115" s="262"/>
      <c r="C115" s="263"/>
      <c r="D115" s="93" t="s">
        <v>19</v>
      </c>
      <c r="E115" s="116">
        <f>E116</f>
        <v>530.89</v>
      </c>
      <c r="F115" s="74">
        <f t="shared" si="79"/>
        <v>531</v>
      </c>
      <c r="G115" s="74">
        <f t="shared" si="79"/>
        <v>531</v>
      </c>
      <c r="H115" s="74">
        <f t="shared" si="79"/>
        <v>531</v>
      </c>
      <c r="I115" s="74">
        <f t="shared" si="78"/>
        <v>100</v>
      </c>
    </row>
    <row r="116" spans="1:9" x14ac:dyDescent="0.25">
      <c r="A116" s="252">
        <v>32</v>
      </c>
      <c r="B116" s="253"/>
      <c r="C116" s="254"/>
      <c r="D116" s="97" t="s">
        <v>32</v>
      </c>
      <c r="E116" s="117">
        <f>E119</f>
        <v>530.89</v>
      </c>
      <c r="F116" s="75">
        <f t="shared" si="79"/>
        <v>531</v>
      </c>
      <c r="G116" s="75">
        <f t="shared" si="79"/>
        <v>531</v>
      </c>
      <c r="H116" s="75">
        <f>H117</f>
        <v>531</v>
      </c>
      <c r="I116" s="75">
        <f t="shared" si="78"/>
        <v>100</v>
      </c>
    </row>
    <row r="117" spans="1:9" x14ac:dyDescent="0.25">
      <c r="A117" s="255" t="s">
        <v>320</v>
      </c>
      <c r="B117" s="256"/>
      <c r="C117" s="257"/>
      <c r="D117" s="198" t="s">
        <v>389</v>
      </c>
      <c r="E117" s="199" t="e">
        <f>SUM(E120:E123)</f>
        <v>#DIV/0!</v>
      </c>
      <c r="F117" s="199">
        <f t="shared" ref="F117:G117" si="80">F118+F119</f>
        <v>531</v>
      </c>
      <c r="G117" s="199">
        <f t="shared" si="80"/>
        <v>531</v>
      </c>
      <c r="H117" s="199">
        <f>H118+H119</f>
        <v>531</v>
      </c>
      <c r="I117" s="199">
        <f t="shared" si="78"/>
        <v>100</v>
      </c>
    </row>
    <row r="118" spans="1:9" hidden="1" x14ac:dyDescent="0.25">
      <c r="A118" s="258" t="s">
        <v>185</v>
      </c>
      <c r="B118" s="259">
        <v>3238</v>
      </c>
      <c r="C118" s="260">
        <v>3238</v>
      </c>
      <c r="D118" s="95" t="s">
        <v>63</v>
      </c>
      <c r="E118" s="118">
        <v>530.89</v>
      </c>
      <c r="F118" s="81">
        <v>531</v>
      </c>
      <c r="G118" s="81">
        <v>531</v>
      </c>
      <c r="H118" s="81">
        <v>531</v>
      </c>
      <c r="I118" s="81"/>
    </row>
    <row r="119" spans="1:9" hidden="1" x14ac:dyDescent="0.25">
      <c r="A119" s="258">
        <v>3238</v>
      </c>
      <c r="B119" s="259">
        <v>3238</v>
      </c>
      <c r="C119" s="260">
        <v>3238</v>
      </c>
      <c r="D119" s="95" t="s">
        <v>64</v>
      </c>
      <c r="E119" s="118">
        <v>530.89</v>
      </c>
      <c r="F119" s="81">
        <v>0</v>
      </c>
      <c r="G119" s="81">
        <v>0</v>
      </c>
      <c r="H119" s="81">
        <v>0</v>
      </c>
      <c r="I119" s="81"/>
    </row>
    <row r="120" spans="1:9" ht="14.25" customHeight="1" x14ac:dyDescent="0.25">
      <c r="A120" s="267" t="s">
        <v>205</v>
      </c>
      <c r="B120" s="268"/>
      <c r="C120" s="269"/>
      <c r="D120" s="92" t="s">
        <v>204</v>
      </c>
      <c r="E120" s="114" t="e">
        <f>E121+E134</f>
        <v>#DIV/0!</v>
      </c>
      <c r="F120" s="72">
        <f>F121+F134</f>
        <v>46510.02</v>
      </c>
      <c r="G120" s="72">
        <f>G121+G134</f>
        <v>0</v>
      </c>
      <c r="H120" s="72">
        <f>H121+H134</f>
        <v>0</v>
      </c>
      <c r="I120" s="72" t="e">
        <f t="shared" ref="I120:I124" si="81">H120/G120*100</f>
        <v>#DIV/0!</v>
      </c>
    </row>
    <row r="121" spans="1:9" ht="15" customHeight="1" x14ac:dyDescent="0.25">
      <c r="A121" s="270" t="s">
        <v>118</v>
      </c>
      <c r="B121" s="271"/>
      <c r="C121" s="272"/>
      <c r="D121" s="84" t="s">
        <v>17</v>
      </c>
      <c r="E121" s="115" t="e">
        <f>E122</f>
        <v>#DIV/0!</v>
      </c>
      <c r="F121" s="73">
        <f t="shared" ref="F121:H121" si="82">F122</f>
        <v>6976.52</v>
      </c>
      <c r="G121" s="73">
        <f t="shared" si="82"/>
        <v>0</v>
      </c>
      <c r="H121" s="73">
        <f t="shared" si="82"/>
        <v>0</v>
      </c>
      <c r="I121" s="73" t="e">
        <f t="shared" si="81"/>
        <v>#DIV/0!</v>
      </c>
    </row>
    <row r="122" spans="1:9" x14ac:dyDescent="0.25">
      <c r="A122" s="261">
        <v>3</v>
      </c>
      <c r="B122" s="262"/>
      <c r="C122" s="263"/>
      <c r="D122" s="93" t="s">
        <v>19</v>
      </c>
      <c r="E122" s="116" t="e">
        <f>E123+E130</f>
        <v>#DIV/0!</v>
      </c>
      <c r="F122" s="74">
        <f t="shared" ref="F122" si="83">F123+F130</f>
        <v>6976.52</v>
      </c>
      <c r="G122" s="74">
        <f t="shared" ref="G122:H122" si="84">G123+G130</f>
        <v>0</v>
      </c>
      <c r="H122" s="74">
        <f t="shared" si="84"/>
        <v>0</v>
      </c>
      <c r="I122" s="74" t="e">
        <f t="shared" si="81"/>
        <v>#DIV/0!</v>
      </c>
    </row>
    <row r="123" spans="1:9" x14ac:dyDescent="0.25">
      <c r="A123" s="252">
        <v>31</v>
      </c>
      <c r="B123" s="253"/>
      <c r="C123" s="254"/>
      <c r="D123" s="97" t="s">
        <v>20</v>
      </c>
      <c r="E123" s="117" t="e">
        <f>SUM(E125:E129)</f>
        <v>#DIV/0!</v>
      </c>
      <c r="F123" s="75">
        <f t="shared" ref="F123" si="85">F124+F126+F128</f>
        <v>6614.91</v>
      </c>
      <c r="G123" s="75">
        <f t="shared" ref="G123:H123" si="86">G124+G126+G128</f>
        <v>0</v>
      </c>
      <c r="H123" s="75">
        <f t="shared" si="86"/>
        <v>0</v>
      </c>
      <c r="I123" s="75" t="e">
        <f t="shared" si="81"/>
        <v>#DIV/0!</v>
      </c>
    </row>
    <row r="124" spans="1:9" x14ac:dyDescent="0.25">
      <c r="A124" s="255" t="s">
        <v>294</v>
      </c>
      <c r="B124" s="256"/>
      <c r="C124" s="257"/>
      <c r="D124" s="198" t="s">
        <v>391</v>
      </c>
      <c r="E124" s="199" t="e">
        <f>SUM(E129:E174)</f>
        <v>#DIV/0!</v>
      </c>
      <c r="F124" s="199">
        <f t="shared" ref="F124:H124" si="87">F125</f>
        <v>5209.17</v>
      </c>
      <c r="G124" s="199">
        <f t="shared" ref="G124" si="88">G125</f>
        <v>0</v>
      </c>
      <c r="H124" s="199">
        <f t="shared" si="87"/>
        <v>0</v>
      </c>
      <c r="I124" s="199" t="e">
        <f t="shared" si="81"/>
        <v>#DIV/0!</v>
      </c>
    </row>
    <row r="125" spans="1:9" hidden="1" x14ac:dyDescent="0.25">
      <c r="A125" s="258" t="s">
        <v>159</v>
      </c>
      <c r="B125" s="259"/>
      <c r="C125" s="260"/>
      <c r="D125" s="98" t="s">
        <v>80</v>
      </c>
      <c r="E125" s="118"/>
      <c r="F125" s="86">
        <v>5209.17</v>
      </c>
      <c r="G125" s="86"/>
      <c r="H125" s="86"/>
      <c r="I125" s="63"/>
    </row>
    <row r="126" spans="1:9" x14ac:dyDescent="0.25">
      <c r="A126" s="255" t="s">
        <v>297</v>
      </c>
      <c r="B126" s="256"/>
      <c r="C126" s="257"/>
      <c r="D126" s="198" t="s">
        <v>81</v>
      </c>
      <c r="E126" s="199" t="e">
        <f>SUM(E132:E178)</f>
        <v>#DIV/0!</v>
      </c>
      <c r="F126" s="199">
        <f t="shared" ref="F126:H126" si="89">F127</f>
        <v>546.22</v>
      </c>
      <c r="G126" s="199">
        <f t="shared" ref="G126" si="90">G127</f>
        <v>0</v>
      </c>
      <c r="H126" s="199">
        <f t="shared" si="89"/>
        <v>0</v>
      </c>
      <c r="I126" s="199" t="e">
        <f t="shared" ref="I126" si="91">H126/G126*100</f>
        <v>#DIV/0!</v>
      </c>
    </row>
    <row r="127" spans="1:9" hidden="1" x14ac:dyDescent="0.25">
      <c r="A127" s="258" t="s">
        <v>160</v>
      </c>
      <c r="B127" s="259"/>
      <c r="C127" s="260"/>
      <c r="D127" s="98" t="s">
        <v>81</v>
      </c>
      <c r="E127" s="118"/>
      <c r="F127" s="86">
        <v>546.22</v>
      </c>
      <c r="G127" s="86"/>
      <c r="H127" s="86"/>
      <c r="I127" s="63"/>
    </row>
    <row r="128" spans="1:9" x14ac:dyDescent="0.25">
      <c r="A128" s="255" t="s">
        <v>299</v>
      </c>
      <c r="B128" s="256"/>
      <c r="C128" s="257"/>
      <c r="D128" s="198" t="s">
        <v>392</v>
      </c>
      <c r="E128" s="199" t="e">
        <f>SUM(E134:E180)</f>
        <v>#DIV/0!</v>
      </c>
      <c r="F128" s="199">
        <f t="shared" ref="F128:H128" si="92">F129</f>
        <v>859.52</v>
      </c>
      <c r="G128" s="199">
        <f t="shared" ref="G128" si="93">G129</f>
        <v>0</v>
      </c>
      <c r="H128" s="199">
        <f t="shared" si="92"/>
        <v>0</v>
      </c>
      <c r="I128" s="199" t="e">
        <f t="shared" ref="I128" si="94">H128/G128*100</f>
        <v>#DIV/0!</v>
      </c>
    </row>
    <row r="129" spans="1:9" hidden="1" x14ac:dyDescent="0.25">
      <c r="A129" s="258" t="s">
        <v>161</v>
      </c>
      <c r="B129" s="259"/>
      <c r="C129" s="260"/>
      <c r="D129" s="98" t="s">
        <v>82</v>
      </c>
      <c r="E129" s="118"/>
      <c r="F129" s="86">
        <v>859.52</v>
      </c>
      <c r="G129" s="86"/>
      <c r="H129" s="86"/>
      <c r="I129" s="63"/>
    </row>
    <row r="130" spans="1:9" x14ac:dyDescent="0.25">
      <c r="A130" s="252">
        <v>32</v>
      </c>
      <c r="B130" s="253"/>
      <c r="C130" s="254"/>
      <c r="D130" s="97" t="s">
        <v>32</v>
      </c>
      <c r="E130" s="117">
        <f>SUM(E132:E133)</f>
        <v>0</v>
      </c>
      <c r="F130" s="75">
        <f>SUM(F132:F133)</f>
        <v>361.61</v>
      </c>
      <c r="G130" s="75">
        <f t="shared" ref="G130" si="95">SUM(G132:G133)</f>
        <v>0</v>
      </c>
      <c r="H130" s="75">
        <f>SUM(H132:H133)</f>
        <v>0</v>
      </c>
      <c r="I130" s="75" t="e">
        <f t="shared" ref="I130:I131" si="96">H130/G130*100</f>
        <v>#DIV/0!</v>
      </c>
    </row>
    <row r="131" spans="1:9" x14ac:dyDescent="0.25">
      <c r="A131" s="255" t="s">
        <v>305</v>
      </c>
      <c r="B131" s="256"/>
      <c r="C131" s="257"/>
      <c r="D131" s="198" t="s">
        <v>393</v>
      </c>
      <c r="E131" s="199" t="e">
        <f>SUM(E133:E185)</f>
        <v>#DIV/0!</v>
      </c>
      <c r="F131" s="199">
        <f t="shared" ref="F131:H131" si="97">SUM(F132:F133)</f>
        <v>361.61</v>
      </c>
      <c r="G131" s="199">
        <f t="shared" ref="G131" si="98">SUM(G132:G133)</f>
        <v>0</v>
      </c>
      <c r="H131" s="199">
        <f t="shared" si="97"/>
        <v>0</v>
      </c>
      <c r="I131" s="199" t="e">
        <f t="shared" si="96"/>
        <v>#DIV/0!</v>
      </c>
    </row>
    <row r="132" spans="1:9" hidden="1" x14ac:dyDescent="0.25">
      <c r="A132" s="258" t="s">
        <v>162</v>
      </c>
      <c r="B132" s="259"/>
      <c r="C132" s="260"/>
      <c r="D132" s="98" t="s">
        <v>52</v>
      </c>
      <c r="E132" s="118"/>
      <c r="F132" s="86">
        <v>63</v>
      </c>
      <c r="G132" s="86"/>
      <c r="H132" s="86"/>
      <c r="I132" s="63"/>
    </row>
    <row r="133" spans="1:9" hidden="1" x14ac:dyDescent="0.25">
      <c r="A133" s="258" t="s">
        <v>163</v>
      </c>
      <c r="B133" s="259"/>
      <c r="C133" s="260"/>
      <c r="D133" s="98" t="s">
        <v>83</v>
      </c>
      <c r="E133" s="118"/>
      <c r="F133" s="86">
        <v>298.61</v>
      </c>
      <c r="G133" s="86"/>
      <c r="H133" s="86"/>
      <c r="I133" s="63"/>
    </row>
    <row r="134" spans="1:9" ht="15" customHeight="1" x14ac:dyDescent="0.25">
      <c r="A134" s="270" t="s">
        <v>214</v>
      </c>
      <c r="B134" s="271"/>
      <c r="C134" s="272"/>
      <c r="D134" s="84" t="s">
        <v>122</v>
      </c>
      <c r="E134" s="115" t="e">
        <f>E135</f>
        <v>#DIV/0!</v>
      </c>
      <c r="F134" s="73">
        <f t="shared" ref="F134:H134" si="99">F135</f>
        <v>39533.5</v>
      </c>
      <c r="G134" s="73">
        <f t="shared" si="99"/>
        <v>0</v>
      </c>
      <c r="H134" s="73">
        <f t="shared" si="99"/>
        <v>0</v>
      </c>
      <c r="I134" s="73" t="e">
        <f t="shared" ref="I134:I137" si="100">H134/G134*100</f>
        <v>#DIV/0!</v>
      </c>
    </row>
    <row r="135" spans="1:9" x14ac:dyDescent="0.25">
      <c r="A135" s="261">
        <v>3</v>
      </c>
      <c r="B135" s="262"/>
      <c r="C135" s="263"/>
      <c r="D135" s="93" t="s">
        <v>19</v>
      </c>
      <c r="E135" s="116" t="e">
        <f>E136+E143</f>
        <v>#DIV/0!</v>
      </c>
      <c r="F135" s="74">
        <f>F136+F143</f>
        <v>39533.5</v>
      </c>
      <c r="G135" s="74">
        <f t="shared" ref="G135" si="101">G136+G143</f>
        <v>0</v>
      </c>
      <c r="H135" s="74">
        <f>H136+H143</f>
        <v>0</v>
      </c>
      <c r="I135" s="74" t="e">
        <f t="shared" si="100"/>
        <v>#DIV/0!</v>
      </c>
    </row>
    <row r="136" spans="1:9" x14ac:dyDescent="0.25">
      <c r="A136" s="252">
        <v>31</v>
      </c>
      <c r="B136" s="253"/>
      <c r="C136" s="254"/>
      <c r="D136" s="97" t="s">
        <v>20</v>
      </c>
      <c r="E136" s="117" t="e">
        <f>SUM(E138:E142)</f>
        <v>#DIV/0!</v>
      </c>
      <c r="F136" s="75">
        <f t="shared" ref="F136" si="102">F137+F139+F141</f>
        <v>37484.39</v>
      </c>
      <c r="G136" s="75">
        <f t="shared" ref="G136:H136" si="103">G137+G139+G141</f>
        <v>0</v>
      </c>
      <c r="H136" s="75">
        <f t="shared" si="103"/>
        <v>0</v>
      </c>
      <c r="I136" s="75" t="e">
        <f t="shared" si="100"/>
        <v>#DIV/0!</v>
      </c>
    </row>
    <row r="137" spans="1:9" x14ac:dyDescent="0.25">
      <c r="A137" s="255" t="s">
        <v>294</v>
      </c>
      <c r="B137" s="256"/>
      <c r="C137" s="257"/>
      <c r="D137" s="198" t="s">
        <v>391</v>
      </c>
      <c r="E137" s="199" t="e">
        <f>SUM(E145:E191)</f>
        <v>#DIV/0!</v>
      </c>
      <c r="F137" s="199">
        <f t="shared" ref="F137:H137" si="104">F138</f>
        <v>29518.57</v>
      </c>
      <c r="G137" s="199">
        <f t="shared" ref="G137" si="105">G138</f>
        <v>0</v>
      </c>
      <c r="H137" s="199">
        <f t="shared" si="104"/>
        <v>0</v>
      </c>
      <c r="I137" s="199" t="e">
        <f t="shared" si="100"/>
        <v>#DIV/0!</v>
      </c>
    </row>
    <row r="138" spans="1:9" hidden="1" x14ac:dyDescent="0.25">
      <c r="A138" s="258" t="s">
        <v>159</v>
      </c>
      <c r="B138" s="259"/>
      <c r="C138" s="260"/>
      <c r="D138" s="98" t="s">
        <v>80</v>
      </c>
      <c r="E138" s="118"/>
      <c r="F138" s="86">
        <v>29518.57</v>
      </c>
      <c r="G138" s="86"/>
      <c r="H138" s="86"/>
      <c r="I138" s="63"/>
    </row>
    <row r="139" spans="1:9" x14ac:dyDescent="0.25">
      <c r="A139" s="255" t="s">
        <v>297</v>
      </c>
      <c r="B139" s="256"/>
      <c r="C139" s="257"/>
      <c r="D139" s="198" t="s">
        <v>81</v>
      </c>
      <c r="E139" s="199" t="e">
        <f>SUM(E147:E191)</f>
        <v>#DIV/0!</v>
      </c>
      <c r="F139" s="199">
        <f t="shared" ref="F139:H139" si="106">F140</f>
        <v>3095.22</v>
      </c>
      <c r="G139" s="199">
        <f t="shared" ref="G139" si="107">G140</f>
        <v>0</v>
      </c>
      <c r="H139" s="199">
        <f t="shared" si="106"/>
        <v>0</v>
      </c>
      <c r="I139" s="199" t="e">
        <f t="shared" ref="I139" si="108">H139/G139*100</f>
        <v>#DIV/0!</v>
      </c>
    </row>
    <row r="140" spans="1:9" hidden="1" x14ac:dyDescent="0.25">
      <c r="A140" s="258" t="s">
        <v>160</v>
      </c>
      <c r="B140" s="259"/>
      <c r="C140" s="260"/>
      <c r="D140" s="98" t="s">
        <v>81</v>
      </c>
      <c r="E140" s="118"/>
      <c r="F140" s="86">
        <v>3095.22</v>
      </c>
      <c r="G140" s="86"/>
      <c r="H140" s="86"/>
      <c r="I140" s="63"/>
    </row>
    <row r="141" spans="1:9" x14ac:dyDescent="0.25">
      <c r="A141" s="255" t="s">
        <v>299</v>
      </c>
      <c r="B141" s="256"/>
      <c r="C141" s="257"/>
      <c r="D141" s="198" t="s">
        <v>392</v>
      </c>
      <c r="E141" s="199" t="e">
        <f>SUM(E148:E191)</f>
        <v>#DIV/0!</v>
      </c>
      <c r="F141" s="199">
        <f t="shared" ref="F141:H141" si="109">F142</f>
        <v>4870.6000000000004</v>
      </c>
      <c r="G141" s="199">
        <f t="shared" ref="G141" si="110">G142</f>
        <v>0</v>
      </c>
      <c r="H141" s="199">
        <f t="shared" si="109"/>
        <v>0</v>
      </c>
      <c r="I141" s="199" t="e">
        <f t="shared" ref="I141" si="111">H141/G141*100</f>
        <v>#DIV/0!</v>
      </c>
    </row>
    <row r="142" spans="1:9" hidden="1" x14ac:dyDescent="0.25">
      <c r="A142" s="258" t="s">
        <v>161</v>
      </c>
      <c r="B142" s="259"/>
      <c r="C142" s="260"/>
      <c r="D142" s="98" t="s">
        <v>82</v>
      </c>
      <c r="E142" s="118"/>
      <c r="F142" s="86">
        <v>4870.6000000000004</v>
      </c>
      <c r="G142" s="86"/>
      <c r="H142" s="86"/>
      <c r="I142" s="63"/>
    </row>
    <row r="143" spans="1:9" x14ac:dyDescent="0.25">
      <c r="A143" s="252">
        <v>32</v>
      </c>
      <c r="B143" s="253"/>
      <c r="C143" s="254"/>
      <c r="D143" s="97" t="s">
        <v>32</v>
      </c>
      <c r="E143" s="117">
        <f>SUM(E145:E146)</f>
        <v>0</v>
      </c>
      <c r="F143" s="75">
        <f t="shared" ref="F143" si="112">SUM(F145:F146)</f>
        <v>2049.11</v>
      </c>
      <c r="G143" s="75">
        <f t="shared" ref="G143:H143" si="113">SUM(G145:G146)</f>
        <v>0</v>
      </c>
      <c r="H143" s="75">
        <f t="shared" si="113"/>
        <v>0</v>
      </c>
      <c r="I143" s="75" t="e">
        <f t="shared" ref="I143:I144" si="114">H143/G143*100</f>
        <v>#DIV/0!</v>
      </c>
    </row>
    <row r="144" spans="1:9" x14ac:dyDescent="0.25">
      <c r="A144" s="255" t="s">
        <v>305</v>
      </c>
      <c r="B144" s="256"/>
      <c r="C144" s="257"/>
      <c r="D144" s="198" t="s">
        <v>393</v>
      </c>
      <c r="E144" s="199" t="e">
        <f>SUM(E146:E191)</f>
        <v>#DIV/0!</v>
      </c>
      <c r="F144" s="199">
        <f t="shared" ref="F144:H144" si="115">SUM(F145:F146)</f>
        <v>2049.11</v>
      </c>
      <c r="G144" s="199">
        <f t="shared" ref="G144" si="116">SUM(G145:G146)</f>
        <v>0</v>
      </c>
      <c r="H144" s="199">
        <f t="shared" si="115"/>
        <v>0</v>
      </c>
      <c r="I144" s="199" t="e">
        <f t="shared" si="114"/>
        <v>#DIV/0!</v>
      </c>
    </row>
    <row r="145" spans="1:11" hidden="1" x14ac:dyDescent="0.25">
      <c r="A145" s="258" t="s">
        <v>162</v>
      </c>
      <c r="B145" s="259"/>
      <c r="C145" s="260"/>
      <c r="D145" s="98" t="s">
        <v>52</v>
      </c>
      <c r="E145" s="118"/>
      <c r="F145" s="86">
        <v>357</v>
      </c>
      <c r="G145" s="86"/>
      <c r="H145" s="86"/>
      <c r="I145" s="63"/>
    </row>
    <row r="146" spans="1:11" hidden="1" x14ac:dyDescent="0.25">
      <c r="A146" s="258" t="s">
        <v>163</v>
      </c>
      <c r="B146" s="259"/>
      <c r="C146" s="260"/>
      <c r="D146" s="98" t="s">
        <v>83</v>
      </c>
      <c r="E146" s="118"/>
      <c r="F146" s="86">
        <v>1692.11</v>
      </c>
      <c r="G146" s="86"/>
      <c r="H146" s="86"/>
      <c r="I146" s="63"/>
    </row>
    <row r="147" spans="1:11" ht="25.5" customHeight="1" x14ac:dyDescent="0.25">
      <c r="A147" s="267" t="s">
        <v>232</v>
      </c>
      <c r="B147" s="268"/>
      <c r="C147" s="269"/>
      <c r="D147" s="92" t="s">
        <v>207</v>
      </c>
      <c r="E147" s="114" t="e">
        <f>E148+E163</f>
        <v>#DIV/0!</v>
      </c>
      <c r="F147" s="72">
        <f>F148+F163</f>
        <v>20864.349999999999</v>
      </c>
      <c r="G147" s="72">
        <f>G148+G163</f>
        <v>57502.02</v>
      </c>
      <c r="H147" s="72">
        <f>H148+H163</f>
        <v>82792.039999999994</v>
      </c>
      <c r="I147" s="72">
        <f t="shared" ref="I147:I151" si="117">H147/G147*100</f>
        <v>143.97999999999999</v>
      </c>
      <c r="K147" s="40">
        <f>H4-2286072.42</f>
        <v>0</v>
      </c>
    </row>
    <row r="148" spans="1:11" ht="15" customHeight="1" x14ac:dyDescent="0.25">
      <c r="A148" s="270" t="s">
        <v>118</v>
      </c>
      <c r="B148" s="271"/>
      <c r="C148" s="272"/>
      <c r="D148" s="84" t="s">
        <v>17</v>
      </c>
      <c r="E148" s="115" t="e">
        <f>E149</f>
        <v>#DIV/0!</v>
      </c>
      <c r="F148" s="73">
        <f>F149</f>
        <v>5424.73</v>
      </c>
      <c r="G148" s="73">
        <f t="shared" ref="G148" si="118">G149</f>
        <v>14950.51</v>
      </c>
      <c r="H148" s="73">
        <f>H149</f>
        <v>21525.93</v>
      </c>
      <c r="I148" s="73">
        <f t="shared" si="117"/>
        <v>143.97999999999999</v>
      </c>
    </row>
    <row r="149" spans="1:11" x14ac:dyDescent="0.25">
      <c r="A149" s="261">
        <v>3</v>
      </c>
      <c r="B149" s="262"/>
      <c r="C149" s="263"/>
      <c r="D149" s="93" t="s">
        <v>19</v>
      </c>
      <c r="E149" s="116" t="e">
        <f>E150+E157</f>
        <v>#DIV/0!</v>
      </c>
      <c r="F149" s="74">
        <f>F150+F157</f>
        <v>5424.73</v>
      </c>
      <c r="G149" s="74">
        <f>G150+G157</f>
        <v>14950.51</v>
      </c>
      <c r="H149" s="74">
        <f>H150+H157</f>
        <v>21525.93</v>
      </c>
      <c r="I149" s="74">
        <f t="shared" si="117"/>
        <v>143.97999999999999</v>
      </c>
    </row>
    <row r="150" spans="1:11" x14ac:dyDescent="0.25">
      <c r="A150" s="252">
        <v>31</v>
      </c>
      <c r="B150" s="253"/>
      <c r="C150" s="254"/>
      <c r="D150" s="97" t="s">
        <v>20</v>
      </c>
      <c r="E150" s="117" t="e">
        <f>SUM(E152:E156)</f>
        <v>#DIV/0!</v>
      </c>
      <c r="F150" s="75">
        <f>F151+F153+F155</f>
        <v>5203.8500000000004</v>
      </c>
      <c r="G150" s="75">
        <f>G151+G153+G155</f>
        <v>14312.3</v>
      </c>
      <c r="H150" s="75">
        <f>H151+H153+H155</f>
        <v>20725.150000000001</v>
      </c>
      <c r="I150" s="75">
        <f t="shared" si="117"/>
        <v>144.81</v>
      </c>
    </row>
    <row r="151" spans="1:11" x14ac:dyDescent="0.25">
      <c r="A151" s="255" t="s">
        <v>294</v>
      </c>
      <c r="B151" s="256"/>
      <c r="C151" s="257"/>
      <c r="D151" s="198" t="s">
        <v>391</v>
      </c>
      <c r="E151" s="199" t="e">
        <f>SUM(E164:E191)</f>
        <v>#DIV/0!</v>
      </c>
      <c r="F151" s="199">
        <f t="shared" ref="F151:H151" si="119">F152</f>
        <v>3931.2</v>
      </c>
      <c r="G151" s="199">
        <f t="shared" ref="G151" si="120">G152</f>
        <v>11749.61</v>
      </c>
      <c r="H151" s="199">
        <f t="shared" si="119"/>
        <v>16785.53</v>
      </c>
      <c r="I151" s="199">
        <f t="shared" si="117"/>
        <v>142.86000000000001</v>
      </c>
    </row>
    <row r="152" spans="1:11" hidden="1" x14ac:dyDescent="0.25">
      <c r="A152" s="258" t="s">
        <v>159</v>
      </c>
      <c r="B152" s="259"/>
      <c r="C152" s="260"/>
      <c r="D152" s="98" t="s">
        <v>80</v>
      </c>
      <c r="E152" s="118"/>
      <c r="F152" s="86">
        <v>3931.2</v>
      </c>
      <c r="G152" s="81">
        <v>11749.61</v>
      </c>
      <c r="H152" s="86">
        <v>16785.53</v>
      </c>
      <c r="I152" s="63"/>
    </row>
    <row r="153" spans="1:11" x14ac:dyDescent="0.25">
      <c r="A153" s="255" t="s">
        <v>297</v>
      </c>
      <c r="B153" s="256"/>
      <c r="C153" s="257"/>
      <c r="D153" s="198" t="s">
        <v>81</v>
      </c>
      <c r="E153" s="199" t="e">
        <f>SUM(E165:E191)</f>
        <v>#DIV/0!</v>
      </c>
      <c r="F153" s="199">
        <f t="shared" ref="F153:H153" si="121">F154</f>
        <v>624</v>
      </c>
      <c r="G153" s="199">
        <f>G154</f>
        <v>624</v>
      </c>
      <c r="H153" s="199">
        <f t="shared" si="121"/>
        <v>1170</v>
      </c>
      <c r="I153" s="199">
        <f t="shared" ref="I153" si="122">H153/G153*100</f>
        <v>187.5</v>
      </c>
    </row>
    <row r="154" spans="1:11" hidden="1" x14ac:dyDescent="0.25">
      <c r="A154" s="258" t="s">
        <v>160</v>
      </c>
      <c r="B154" s="259"/>
      <c r="C154" s="260"/>
      <c r="D154" s="98" t="s">
        <v>81</v>
      </c>
      <c r="E154" s="118"/>
      <c r="F154" s="86">
        <v>624</v>
      </c>
      <c r="G154" s="81">
        <v>624</v>
      </c>
      <c r="H154" s="86">
        <v>1170</v>
      </c>
      <c r="I154" s="63"/>
    </row>
    <row r="155" spans="1:11" x14ac:dyDescent="0.25">
      <c r="A155" s="255" t="s">
        <v>299</v>
      </c>
      <c r="B155" s="256"/>
      <c r="C155" s="257"/>
      <c r="D155" s="198" t="s">
        <v>392</v>
      </c>
      <c r="E155" s="199" t="e">
        <f>SUM(E165:E191)</f>
        <v>#DIV/0!</v>
      </c>
      <c r="F155" s="199">
        <f t="shared" ref="F155:H155" si="123">F156</f>
        <v>648.65</v>
      </c>
      <c r="G155" s="199">
        <f t="shared" ref="G155" si="124">G156</f>
        <v>1938.69</v>
      </c>
      <c r="H155" s="199">
        <f t="shared" si="123"/>
        <v>2769.62</v>
      </c>
      <c r="I155" s="199">
        <f t="shared" ref="I155" si="125">H155/G155*100</f>
        <v>142.86000000000001</v>
      </c>
    </row>
    <row r="156" spans="1:11" hidden="1" x14ac:dyDescent="0.25">
      <c r="A156" s="258" t="s">
        <v>161</v>
      </c>
      <c r="B156" s="259"/>
      <c r="C156" s="260"/>
      <c r="D156" s="98" t="s">
        <v>82</v>
      </c>
      <c r="E156" s="118"/>
      <c r="F156" s="86">
        <v>648.65</v>
      </c>
      <c r="G156" s="81">
        <v>1938.69</v>
      </c>
      <c r="H156" s="86">
        <v>2769.62</v>
      </c>
      <c r="I156" s="63"/>
    </row>
    <row r="157" spans="1:11" x14ac:dyDescent="0.25">
      <c r="A157" s="252">
        <v>32</v>
      </c>
      <c r="B157" s="253"/>
      <c r="C157" s="254"/>
      <c r="D157" s="97" t="s">
        <v>32</v>
      </c>
      <c r="E157" s="117">
        <f>SUM(E159:E160)</f>
        <v>0</v>
      </c>
      <c r="F157" s="75">
        <f>F158+F161</f>
        <v>220.88</v>
      </c>
      <c r="G157" s="75">
        <f t="shared" ref="G157" si="126">SUM(G159:G160)</f>
        <v>638.21</v>
      </c>
      <c r="H157" s="75">
        <f>H158+H161</f>
        <v>800.78</v>
      </c>
      <c r="I157" s="75">
        <f t="shared" ref="I157:I158" si="127">H157/G157*100</f>
        <v>125.47</v>
      </c>
    </row>
    <row r="158" spans="1:11" x14ac:dyDescent="0.25">
      <c r="A158" s="255" t="s">
        <v>305</v>
      </c>
      <c r="B158" s="256"/>
      <c r="C158" s="257"/>
      <c r="D158" s="198" t="s">
        <v>393</v>
      </c>
      <c r="E158" s="199" t="e">
        <f>SUM(E160:E191)</f>
        <v>#DIV/0!</v>
      </c>
      <c r="F158" s="199">
        <f t="shared" ref="F158" si="128">SUM(F159:F160)</f>
        <v>215.19</v>
      </c>
      <c r="G158" s="199">
        <f t="shared" ref="G158" si="129">SUM(G159:G160)</f>
        <v>638.21</v>
      </c>
      <c r="H158" s="199">
        <f>SUM(H159:H160)</f>
        <v>795.09</v>
      </c>
      <c r="I158" s="199">
        <f t="shared" si="127"/>
        <v>124.58</v>
      </c>
    </row>
    <row r="159" spans="1:11" hidden="1" x14ac:dyDescent="0.25">
      <c r="A159" s="258" t="s">
        <v>162</v>
      </c>
      <c r="B159" s="259"/>
      <c r="C159" s="260"/>
      <c r="D159" s="98" t="s">
        <v>52</v>
      </c>
      <c r="E159" s="118"/>
      <c r="F159" s="86">
        <v>23.4</v>
      </c>
      <c r="G159" s="86">
        <v>109.2</v>
      </c>
      <c r="H159" s="86">
        <v>109.2</v>
      </c>
      <c r="I159" s="63"/>
    </row>
    <row r="160" spans="1:11" hidden="1" x14ac:dyDescent="0.25">
      <c r="A160" s="258" t="s">
        <v>163</v>
      </c>
      <c r="B160" s="259"/>
      <c r="C160" s="260"/>
      <c r="D160" s="98" t="s">
        <v>83</v>
      </c>
      <c r="E160" s="118"/>
      <c r="F160" s="86">
        <v>191.79</v>
      </c>
      <c r="G160" s="81">
        <v>529.01</v>
      </c>
      <c r="H160" s="86">
        <v>685.89</v>
      </c>
      <c r="I160" s="63"/>
    </row>
    <row r="161" spans="1:9" x14ac:dyDescent="0.25">
      <c r="A161" s="255" t="s">
        <v>320</v>
      </c>
      <c r="B161" s="256"/>
      <c r="C161" s="257"/>
      <c r="D161" s="198" t="s">
        <v>389</v>
      </c>
      <c r="E161" s="199" t="e">
        <f>SUM(E164:E191)</f>
        <v>#DIV/0!</v>
      </c>
      <c r="F161" s="199">
        <f>F162</f>
        <v>5.69</v>
      </c>
      <c r="G161" s="199">
        <f>G162</f>
        <v>0</v>
      </c>
      <c r="H161" s="199">
        <f>H162</f>
        <v>5.69</v>
      </c>
      <c r="I161" s="199" t="e">
        <f t="shared" ref="I161" si="130">H161/G161*100</f>
        <v>#DIV/0!</v>
      </c>
    </row>
    <row r="162" spans="1:9" hidden="1" x14ac:dyDescent="0.25">
      <c r="A162" s="258" t="s">
        <v>173</v>
      </c>
      <c r="B162" s="259"/>
      <c r="C162" s="260"/>
      <c r="D162" s="98" t="s">
        <v>62</v>
      </c>
      <c r="E162" s="118"/>
      <c r="F162" s="86">
        <v>5.69</v>
      </c>
      <c r="G162" s="81">
        <v>0</v>
      </c>
      <c r="H162" s="86">
        <v>5.69</v>
      </c>
      <c r="I162" s="63"/>
    </row>
    <row r="163" spans="1:9" ht="15" customHeight="1" x14ac:dyDescent="0.25">
      <c r="A163" s="270" t="s">
        <v>419</v>
      </c>
      <c r="B163" s="271"/>
      <c r="C163" s="272"/>
      <c r="D163" s="84" t="s">
        <v>122</v>
      </c>
      <c r="E163" s="115" t="e">
        <f>E164</f>
        <v>#DIV/0!</v>
      </c>
      <c r="F163" s="73">
        <f t="shared" ref="F163:H163" si="131">F164</f>
        <v>15439.62</v>
      </c>
      <c r="G163" s="73">
        <f t="shared" si="131"/>
        <v>42551.51</v>
      </c>
      <c r="H163" s="73">
        <f t="shared" si="131"/>
        <v>61266.11</v>
      </c>
      <c r="I163" s="73">
        <f t="shared" ref="I163:I166" si="132">H163/G163*100</f>
        <v>143.97999999999999</v>
      </c>
    </row>
    <row r="164" spans="1:9" x14ac:dyDescent="0.25">
      <c r="A164" s="261">
        <v>3</v>
      </c>
      <c r="B164" s="262"/>
      <c r="C164" s="263"/>
      <c r="D164" s="93" t="s">
        <v>19</v>
      </c>
      <c r="E164" s="116" t="e">
        <f>E165+E172</f>
        <v>#DIV/0!</v>
      </c>
      <c r="F164" s="74">
        <f>F165+F172</f>
        <v>15439.62</v>
      </c>
      <c r="G164" s="74">
        <f>G165+G172</f>
        <v>42551.51</v>
      </c>
      <c r="H164" s="74">
        <f>H165+H172</f>
        <v>61266.11</v>
      </c>
      <c r="I164" s="74">
        <f t="shared" si="132"/>
        <v>143.97999999999999</v>
      </c>
    </row>
    <row r="165" spans="1:9" x14ac:dyDescent="0.25">
      <c r="A165" s="252">
        <v>31</v>
      </c>
      <c r="B165" s="253"/>
      <c r="C165" s="254"/>
      <c r="D165" s="97" t="s">
        <v>20</v>
      </c>
      <c r="E165" s="117" t="e">
        <f>SUM(E167:E171)</f>
        <v>#DIV/0!</v>
      </c>
      <c r="F165" s="75">
        <f t="shared" ref="F165" si="133">F166+F168+F170</f>
        <v>14810.96</v>
      </c>
      <c r="G165" s="75">
        <f t="shared" ref="G165" si="134">G166+G168+G170</f>
        <v>40735.03</v>
      </c>
      <c r="H165" s="75">
        <f>H166+H168+H170+H176</f>
        <v>59003.15</v>
      </c>
      <c r="I165" s="75">
        <f t="shared" si="132"/>
        <v>144.85</v>
      </c>
    </row>
    <row r="166" spans="1:9" x14ac:dyDescent="0.25">
      <c r="A166" s="255" t="s">
        <v>294</v>
      </c>
      <c r="B166" s="256"/>
      <c r="C166" s="257"/>
      <c r="D166" s="198" t="s">
        <v>391</v>
      </c>
      <c r="E166" s="199" t="e">
        <f>SUM(E183:E192)</f>
        <v>#DIV/0!</v>
      </c>
      <c r="F166" s="199">
        <f t="shared" ref="F166:H166" si="135">F167</f>
        <v>11188.8</v>
      </c>
      <c r="G166" s="199">
        <f t="shared" ref="G166" si="136">G167</f>
        <v>33441.19</v>
      </c>
      <c r="H166" s="199">
        <f t="shared" si="135"/>
        <v>47774.17</v>
      </c>
      <c r="I166" s="199">
        <f t="shared" si="132"/>
        <v>142.86000000000001</v>
      </c>
    </row>
    <row r="167" spans="1:9" hidden="1" x14ac:dyDescent="0.25">
      <c r="A167" s="258" t="s">
        <v>159</v>
      </c>
      <c r="B167" s="259"/>
      <c r="C167" s="260"/>
      <c r="D167" s="98" t="s">
        <v>80</v>
      </c>
      <c r="E167" s="118"/>
      <c r="F167" s="86">
        <v>11188.8</v>
      </c>
      <c r="G167" s="81">
        <v>33441.19</v>
      </c>
      <c r="H167" s="86">
        <v>47774.17</v>
      </c>
      <c r="I167" s="63"/>
    </row>
    <row r="168" spans="1:9" x14ac:dyDescent="0.25">
      <c r="A168" s="255" t="s">
        <v>297</v>
      </c>
      <c r="B168" s="256"/>
      <c r="C168" s="257"/>
      <c r="D168" s="198" t="s">
        <v>81</v>
      </c>
      <c r="E168" s="199" t="e">
        <f>SUM(E183:E194)</f>
        <v>#DIV/0!</v>
      </c>
      <c r="F168" s="199">
        <f t="shared" ref="F168:H168" si="137">F169</f>
        <v>1776</v>
      </c>
      <c r="G168" s="199">
        <f t="shared" ref="G168" si="138">G169</f>
        <v>1776</v>
      </c>
      <c r="H168" s="199">
        <f t="shared" si="137"/>
        <v>3330</v>
      </c>
      <c r="I168" s="199">
        <f t="shared" ref="I168" si="139">H168/G168*100</f>
        <v>187.5</v>
      </c>
    </row>
    <row r="169" spans="1:9" hidden="1" x14ac:dyDescent="0.25">
      <c r="A169" s="258" t="s">
        <v>160</v>
      </c>
      <c r="B169" s="259"/>
      <c r="C169" s="260"/>
      <c r="D169" s="98" t="s">
        <v>81</v>
      </c>
      <c r="E169" s="118"/>
      <c r="F169" s="86">
        <v>1776</v>
      </c>
      <c r="G169" s="81">
        <v>1776</v>
      </c>
      <c r="H169" s="86">
        <v>3330</v>
      </c>
      <c r="I169" s="63"/>
    </row>
    <row r="170" spans="1:9" x14ac:dyDescent="0.25">
      <c r="A170" s="255" t="s">
        <v>299</v>
      </c>
      <c r="B170" s="256"/>
      <c r="C170" s="257"/>
      <c r="D170" s="198" t="s">
        <v>392</v>
      </c>
      <c r="E170" s="199" t="e">
        <f>SUM(E181:E196)</f>
        <v>#DIV/0!</v>
      </c>
      <c r="F170" s="199">
        <f t="shared" ref="F170:H170" si="140">F171</f>
        <v>1846.16</v>
      </c>
      <c r="G170" s="199">
        <f t="shared" ref="G170" si="141">G171</f>
        <v>5517.84</v>
      </c>
      <c r="H170" s="199">
        <f t="shared" si="140"/>
        <v>7882.77</v>
      </c>
      <c r="I170" s="199">
        <f t="shared" ref="I170" si="142">H170/G170*100</f>
        <v>142.86000000000001</v>
      </c>
    </row>
    <row r="171" spans="1:9" hidden="1" x14ac:dyDescent="0.25">
      <c r="A171" s="258" t="s">
        <v>161</v>
      </c>
      <c r="B171" s="259"/>
      <c r="C171" s="260"/>
      <c r="D171" s="98" t="s">
        <v>82</v>
      </c>
      <c r="E171" s="118"/>
      <c r="F171" s="86">
        <v>1846.16</v>
      </c>
      <c r="G171" s="81">
        <v>5517.84</v>
      </c>
      <c r="H171" s="86">
        <v>7882.77</v>
      </c>
      <c r="I171" s="63"/>
    </row>
    <row r="172" spans="1:9" x14ac:dyDescent="0.25">
      <c r="A172" s="252">
        <v>32</v>
      </c>
      <c r="B172" s="253"/>
      <c r="C172" s="254"/>
      <c r="D172" s="97" t="s">
        <v>32</v>
      </c>
      <c r="E172" s="117">
        <f>SUM(E174:E175)</f>
        <v>0</v>
      </c>
      <c r="F172" s="75">
        <f>F173+F176</f>
        <v>628.66</v>
      </c>
      <c r="G172" s="75">
        <f t="shared" ref="G172:H172" si="143">SUM(G174:G175)</f>
        <v>1816.48</v>
      </c>
      <c r="H172" s="75">
        <f t="shared" si="143"/>
        <v>2262.96</v>
      </c>
      <c r="I172" s="75">
        <f t="shared" ref="I172:I173" si="144">H172/G172*100</f>
        <v>124.58</v>
      </c>
    </row>
    <row r="173" spans="1:9" x14ac:dyDescent="0.25">
      <c r="A173" s="255" t="s">
        <v>305</v>
      </c>
      <c r="B173" s="256"/>
      <c r="C173" s="257"/>
      <c r="D173" s="198" t="s">
        <v>393</v>
      </c>
      <c r="E173" s="199" t="e">
        <f>SUM(E175:E200)</f>
        <v>#DIV/0!</v>
      </c>
      <c r="F173" s="199">
        <f>SUM(F174:F175)</f>
        <v>612.45000000000005</v>
      </c>
      <c r="G173" s="199">
        <f t="shared" ref="G173" si="145">SUM(G174:G175)</f>
        <v>1816.48</v>
      </c>
      <c r="H173" s="199">
        <f t="shared" ref="H173" si="146">SUM(H174:H175)</f>
        <v>2262.96</v>
      </c>
      <c r="I173" s="199">
        <f t="shared" si="144"/>
        <v>124.58</v>
      </c>
    </row>
    <row r="174" spans="1:9" hidden="1" x14ac:dyDescent="0.25">
      <c r="A174" s="258" t="s">
        <v>162</v>
      </c>
      <c r="B174" s="259"/>
      <c r="C174" s="260"/>
      <c r="D174" s="98" t="s">
        <v>52</v>
      </c>
      <c r="E174" s="118"/>
      <c r="F174" s="86">
        <v>66.599999999999994</v>
      </c>
      <c r="G174" s="86">
        <v>310.8</v>
      </c>
      <c r="H174" s="86">
        <v>310.8</v>
      </c>
      <c r="I174" s="63"/>
    </row>
    <row r="175" spans="1:9" hidden="1" x14ac:dyDescent="0.25">
      <c r="A175" s="258" t="s">
        <v>163</v>
      </c>
      <c r="B175" s="259"/>
      <c r="C175" s="260"/>
      <c r="D175" s="98" t="s">
        <v>83</v>
      </c>
      <c r="E175" s="118"/>
      <c r="F175" s="86">
        <v>545.85</v>
      </c>
      <c r="G175" s="81">
        <v>1505.68</v>
      </c>
      <c r="H175" s="86">
        <v>1952.16</v>
      </c>
      <c r="I175" s="63"/>
    </row>
    <row r="176" spans="1:9" x14ac:dyDescent="0.25">
      <c r="A176" s="255" t="s">
        <v>320</v>
      </c>
      <c r="B176" s="256"/>
      <c r="C176" s="257"/>
      <c r="D176" s="198" t="s">
        <v>389</v>
      </c>
      <c r="E176" s="199" t="e">
        <f>SUM(E179:E204)</f>
        <v>#DIV/0!</v>
      </c>
      <c r="F176" s="199">
        <f>SUM(F177)</f>
        <v>16.21</v>
      </c>
      <c r="G176" s="199">
        <f>G177</f>
        <v>0</v>
      </c>
      <c r="H176" s="199">
        <f>H177</f>
        <v>16.21</v>
      </c>
      <c r="I176" s="199" t="e">
        <f t="shared" ref="I176" si="147">H176/G176*100</f>
        <v>#DIV/0!</v>
      </c>
    </row>
    <row r="177" spans="1:17" hidden="1" x14ac:dyDescent="0.25">
      <c r="A177" s="258" t="s">
        <v>173</v>
      </c>
      <c r="B177" s="259"/>
      <c r="C177" s="260"/>
      <c r="D177" s="98" t="s">
        <v>62</v>
      </c>
      <c r="E177" s="118"/>
      <c r="F177" s="86">
        <v>16.21</v>
      </c>
      <c r="G177" s="81">
        <v>0</v>
      </c>
      <c r="H177" s="86">
        <v>16.21</v>
      </c>
      <c r="I177" s="63"/>
    </row>
    <row r="178" spans="1:17" ht="24" customHeight="1" x14ac:dyDescent="0.25">
      <c r="A178" s="267" t="s">
        <v>420</v>
      </c>
      <c r="B178" s="268"/>
      <c r="C178" s="269"/>
      <c r="D178" s="92" t="s">
        <v>421</v>
      </c>
      <c r="E178" s="114" t="e">
        <f>E179+#REF!</f>
        <v>#DIV/0!</v>
      </c>
      <c r="F178" s="72">
        <f>F179</f>
        <v>0</v>
      </c>
      <c r="G178" s="72">
        <f>G179</f>
        <v>4700</v>
      </c>
      <c r="H178" s="72">
        <f>H179</f>
        <v>2018.35</v>
      </c>
      <c r="I178" s="72">
        <f t="shared" ref="I178" si="148">H178/G178*100</f>
        <v>42.94</v>
      </c>
    </row>
    <row r="179" spans="1:17" ht="15" customHeight="1" x14ac:dyDescent="0.25">
      <c r="A179" s="270" t="s">
        <v>118</v>
      </c>
      <c r="B179" s="271"/>
      <c r="C179" s="272"/>
      <c r="D179" s="84" t="s">
        <v>17</v>
      </c>
      <c r="E179" s="115" t="e">
        <f>E180</f>
        <v>#DIV/0!</v>
      </c>
      <c r="F179" s="73">
        <f t="shared" ref="F179:I179" si="149">F180</f>
        <v>0</v>
      </c>
      <c r="G179" s="73">
        <f t="shared" si="149"/>
        <v>4700</v>
      </c>
      <c r="H179" s="73">
        <f t="shared" si="149"/>
        <v>2018.35</v>
      </c>
      <c r="I179" s="73">
        <f t="shared" si="149"/>
        <v>47.98</v>
      </c>
    </row>
    <row r="180" spans="1:17" x14ac:dyDescent="0.25">
      <c r="A180" s="261">
        <v>3</v>
      </c>
      <c r="B180" s="262"/>
      <c r="C180" s="263"/>
      <c r="D180" s="93" t="s">
        <v>19</v>
      </c>
      <c r="E180" s="116" t="e">
        <f>E181+E188</f>
        <v>#DIV/0!</v>
      </c>
      <c r="F180" s="74">
        <f>F181+F188</f>
        <v>0</v>
      </c>
      <c r="G180" s="74">
        <f>G181+G188</f>
        <v>4700</v>
      </c>
      <c r="H180" s="74">
        <f>H181+H188</f>
        <v>2018.35</v>
      </c>
      <c r="I180" s="74">
        <f>I181+I188</f>
        <v>47.98</v>
      </c>
    </row>
    <row r="181" spans="1:17" x14ac:dyDescent="0.25">
      <c r="A181" s="252">
        <v>31</v>
      </c>
      <c r="B181" s="253"/>
      <c r="C181" s="254"/>
      <c r="D181" s="97" t="s">
        <v>20</v>
      </c>
      <c r="E181" s="117" t="e">
        <f>SUM(E183:E187)</f>
        <v>#DIV/0!</v>
      </c>
      <c r="F181" s="75">
        <f t="shared" ref="F181" si="150">F182+F184+F186</f>
        <v>0</v>
      </c>
      <c r="G181" s="75">
        <f t="shared" ref="G181:H181" si="151">G182+G184+G186</f>
        <v>4520</v>
      </c>
      <c r="H181" s="75">
        <f t="shared" si="151"/>
        <v>1930.99</v>
      </c>
      <c r="I181" s="75">
        <f t="shared" ref="I181" si="152">SUM(I183:I187)</f>
        <v>47.98</v>
      </c>
    </row>
    <row r="182" spans="1:17" x14ac:dyDescent="0.25">
      <c r="A182" s="255" t="s">
        <v>294</v>
      </c>
      <c r="B182" s="256"/>
      <c r="C182" s="257"/>
      <c r="D182" s="198" t="s">
        <v>391</v>
      </c>
      <c r="E182" s="199" t="e">
        <f>SUM(E192:E207)</f>
        <v>#DIV/0!</v>
      </c>
      <c r="F182" s="199">
        <f t="shared" ref="F182:H182" si="153">F183</f>
        <v>0</v>
      </c>
      <c r="G182" s="199">
        <f t="shared" ref="G182" si="154">G183</f>
        <v>3450</v>
      </c>
      <c r="H182" s="199">
        <f t="shared" si="153"/>
        <v>1657.5</v>
      </c>
      <c r="I182" s="199">
        <f t="shared" ref="I182" si="155">H182/G182*100</f>
        <v>48.04</v>
      </c>
    </row>
    <row r="183" spans="1:17" hidden="1" x14ac:dyDescent="0.25">
      <c r="A183" s="258" t="s">
        <v>159</v>
      </c>
      <c r="B183" s="259"/>
      <c r="C183" s="260"/>
      <c r="D183" s="98" t="s">
        <v>80</v>
      </c>
      <c r="E183" s="118"/>
      <c r="F183" s="66">
        <v>0</v>
      </c>
      <c r="G183" s="66">
        <v>3450</v>
      </c>
      <c r="H183" s="66">
        <v>1657.5</v>
      </c>
      <c r="I183" s="86"/>
    </row>
    <row r="184" spans="1:17" x14ac:dyDescent="0.25">
      <c r="A184" s="255" t="s">
        <v>297</v>
      </c>
      <c r="B184" s="256"/>
      <c r="C184" s="257"/>
      <c r="D184" s="198" t="s">
        <v>81</v>
      </c>
      <c r="E184" s="199" t="e">
        <f>SUM(E192:E209)</f>
        <v>#DIV/0!</v>
      </c>
      <c r="F184" s="199">
        <f t="shared" ref="F184:H184" si="156">F185</f>
        <v>0</v>
      </c>
      <c r="G184" s="199">
        <f t="shared" ref="G184" si="157">G185</f>
        <v>500</v>
      </c>
      <c r="H184" s="199">
        <f t="shared" si="156"/>
        <v>0</v>
      </c>
      <c r="I184" s="199">
        <f t="shared" ref="I184" si="158">H184/G184*100</f>
        <v>0</v>
      </c>
    </row>
    <row r="185" spans="1:17" hidden="1" x14ac:dyDescent="0.25">
      <c r="A185" s="258" t="s">
        <v>160</v>
      </c>
      <c r="B185" s="259"/>
      <c r="C185" s="260"/>
      <c r="D185" s="98" t="s">
        <v>81</v>
      </c>
      <c r="E185" s="118"/>
      <c r="F185" s="66">
        <v>0</v>
      </c>
      <c r="G185" s="66">
        <v>500</v>
      </c>
      <c r="H185" s="66">
        <v>0</v>
      </c>
      <c r="I185" s="86"/>
    </row>
    <row r="186" spans="1:17" x14ac:dyDescent="0.25">
      <c r="A186" s="255" t="s">
        <v>299</v>
      </c>
      <c r="B186" s="256"/>
      <c r="C186" s="257"/>
      <c r="D186" s="198" t="s">
        <v>392</v>
      </c>
      <c r="E186" s="199" t="e">
        <f>SUM(E192:E211)</f>
        <v>#DIV/0!</v>
      </c>
      <c r="F186" s="199">
        <f t="shared" ref="F186:H186" si="159">F187</f>
        <v>0</v>
      </c>
      <c r="G186" s="199">
        <f t="shared" ref="G186" si="160">G187</f>
        <v>570</v>
      </c>
      <c r="H186" s="199">
        <f t="shared" si="159"/>
        <v>273.49</v>
      </c>
      <c r="I186" s="199">
        <f t="shared" ref="I186" si="161">H186/G186*100</f>
        <v>47.98</v>
      </c>
    </row>
    <row r="187" spans="1:17" hidden="1" x14ac:dyDescent="0.25">
      <c r="A187" s="258" t="s">
        <v>161</v>
      </c>
      <c r="B187" s="259"/>
      <c r="C187" s="260"/>
      <c r="D187" s="98" t="s">
        <v>82</v>
      </c>
      <c r="E187" s="118"/>
      <c r="F187" s="66">
        <v>0</v>
      </c>
      <c r="G187" s="66">
        <v>570</v>
      </c>
      <c r="H187" s="66">
        <v>273.49</v>
      </c>
      <c r="I187" s="86"/>
    </row>
    <row r="188" spans="1:17" x14ac:dyDescent="0.25">
      <c r="A188" s="252">
        <v>32</v>
      </c>
      <c r="B188" s="253"/>
      <c r="C188" s="254"/>
      <c r="D188" s="97" t="s">
        <v>32</v>
      </c>
      <c r="E188" s="117">
        <f>SUM(E190:E191)</f>
        <v>0</v>
      </c>
      <c r="F188" s="75">
        <f t="shared" ref="F188" si="162">SUM(F190:F191)</f>
        <v>0</v>
      </c>
      <c r="G188" s="75">
        <f t="shared" ref="G188:I188" si="163">SUM(G190:G191)</f>
        <v>180</v>
      </c>
      <c r="H188" s="75">
        <f t="shared" si="163"/>
        <v>87.36</v>
      </c>
      <c r="I188" s="75">
        <f t="shared" si="163"/>
        <v>0</v>
      </c>
    </row>
    <row r="189" spans="1:17" x14ac:dyDescent="0.25">
      <c r="A189" s="255" t="s">
        <v>305</v>
      </c>
      <c r="B189" s="256"/>
      <c r="C189" s="257"/>
      <c r="D189" s="198" t="s">
        <v>393</v>
      </c>
      <c r="E189" s="199" t="e">
        <f>SUM(E191:E215)</f>
        <v>#DIV/0!</v>
      </c>
      <c r="F189" s="199">
        <f t="shared" ref="F189:H189" si="164">SUM(F190:F191)</f>
        <v>0</v>
      </c>
      <c r="G189" s="199">
        <f t="shared" ref="G189" si="165">SUM(G190:G191)</f>
        <v>180</v>
      </c>
      <c r="H189" s="199">
        <f t="shared" si="164"/>
        <v>87.36</v>
      </c>
      <c r="I189" s="199">
        <f t="shared" ref="I189" si="166">H189/G189*100</f>
        <v>48.53</v>
      </c>
    </row>
    <row r="190" spans="1:17" hidden="1" x14ac:dyDescent="0.25">
      <c r="A190" s="258" t="s">
        <v>162</v>
      </c>
      <c r="B190" s="259"/>
      <c r="C190" s="260"/>
      <c r="D190" s="98" t="s">
        <v>52</v>
      </c>
      <c r="E190" s="118"/>
      <c r="F190" s="66">
        <v>0</v>
      </c>
      <c r="G190" s="66">
        <v>30</v>
      </c>
      <c r="H190" s="66">
        <v>0</v>
      </c>
      <c r="I190" s="86"/>
    </row>
    <row r="191" spans="1:17" hidden="1" x14ac:dyDescent="0.25">
      <c r="A191" s="258" t="s">
        <v>163</v>
      </c>
      <c r="B191" s="259"/>
      <c r="C191" s="260"/>
      <c r="D191" s="98" t="s">
        <v>83</v>
      </c>
      <c r="E191" s="118"/>
      <c r="F191" s="66">
        <v>0</v>
      </c>
      <c r="G191" s="66">
        <v>150</v>
      </c>
      <c r="H191" s="66">
        <v>87.36</v>
      </c>
      <c r="I191" s="86"/>
    </row>
    <row r="192" spans="1:17" x14ac:dyDescent="0.25">
      <c r="A192" s="264" t="s">
        <v>196</v>
      </c>
      <c r="B192" s="265"/>
      <c r="C192" s="266"/>
      <c r="D192" s="96" t="s">
        <v>84</v>
      </c>
      <c r="E192" s="119" t="e">
        <f>E193+E201+E207</f>
        <v>#DIV/0!</v>
      </c>
      <c r="F192" s="77">
        <f>F193+F201+F207+F212</f>
        <v>17625.560000000001</v>
      </c>
      <c r="G192" s="77">
        <f>G193+G201+G207+G212</f>
        <v>3917.84</v>
      </c>
      <c r="H192" s="77">
        <f>H193+H201+H207+H212</f>
        <v>13125.64</v>
      </c>
      <c r="I192" s="77">
        <f t="shared" ref="I192:I197" si="167">H192/G192*100</f>
        <v>335.02</v>
      </c>
      <c r="L192" s="52"/>
      <c r="M192" s="52"/>
      <c r="N192" s="52"/>
      <c r="O192" s="52"/>
      <c r="P192" s="52"/>
      <c r="Q192" s="52"/>
    </row>
    <row r="193" spans="1:9" ht="15" customHeight="1" x14ac:dyDescent="0.25">
      <c r="A193" s="267" t="s">
        <v>197</v>
      </c>
      <c r="B193" s="268"/>
      <c r="C193" s="269"/>
      <c r="D193" s="92" t="s">
        <v>85</v>
      </c>
      <c r="E193" s="114" t="e">
        <f>E194</f>
        <v>#DIV/0!</v>
      </c>
      <c r="F193" s="72">
        <f t="shared" ref="F193:H193" si="168">F194</f>
        <v>15600.56</v>
      </c>
      <c r="G193" s="72">
        <f>G194</f>
        <v>2417.84</v>
      </c>
      <c r="H193" s="72">
        <f t="shared" si="168"/>
        <v>11625.64</v>
      </c>
      <c r="I193" s="72">
        <f t="shared" si="167"/>
        <v>480.83</v>
      </c>
    </row>
    <row r="194" spans="1:9" ht="15" customHeight="1" x14ac:dyDescent="0.25">
      <c r="A194" s="270" t="s">
        <v>118</v>
      </c>
      <c r="B194" s="271"/>
      <c r="C194" s="272"/>
      <c r="D194" s="84" t="s">
        <v>17</v>
      </c>
      <c r="E194" s="115" t="e">
        <f>E195</f>
        <v>#DIV/0!</v>
      </c>
      <c r="F194" s="73">
        <f t="shared" ref="F194:H194" si="169">F195</f>
        <v>15600.56</v>
      </c>
      <c r="G194" s="73">
        <f t="shared" si="169"/>
        <v>2417.84</v>
      </c>
      <c r="H194" s="73">
        <f t="shared" si="169"/>
        <v>11625.64</v>
      </c>
      <c r="I194" s="73">
        <f t="shared" si="167"/>
        <v>480.83</v>
      </c>
    </row>
    <row r="195" spans="1:9" ht="25.5" x14ac:dyDescent="0.25">
      <c r="A195" s="261">
        <v>4</v>
      </c>
      <c r="B195" s="262"/>
      <c r="C195" s="263"/>
      <c r="D195" s="93" t="s">
        <v>21</v>
      </c>
      <c r="E195" s="116" t="e">
        <f>E196</f>
        <v>#DIV/0!</v>
      </c>
      <c r="F195" s="74">
        <f t="shared" ref="F195:H195" si="170">F196</f>
        <v>15600.56</v>
      </c>
      <c r="G195" s="74">
        <f t="shared" si="170"/>
        <v>2417.84</v>
      </c>
      <c r="H195" s="74">
        <f t="shared" si="170"/>
        <v>11625.64</v>
      </c>
      <c r="I195" s="74">
        <f t="shared" si="167"/>
        <v>480.83</v>
      </c>
    </row>
    <row r="196" spans="1:9" ht="25.5" x14ac:dyDescent="0.25">
      <c r="A196" s="252">
        <v>42</v>
      </c>
      <c r="B196" s="253"/>
      <c r="C196" s="254"/>
      <c r="D196" s="97" t="s">
        <v>189</v>
      </c>
      <c r="E196" s="117" t="e">
        <f>SUM(E198:E199)</f>
        <v>#DIV/0!</v>
      </c>
      <c r="F196" s="75">
        <f>F197</f>
        <v>15600.56</v>
      </c>
      <c r="G196" s="75">
        <f t="shared" ref="G196:H196" si="171">SUM(G198:G199)</f>
        <v>2417.84</v>
      </c>
      <c r="H196" s="75">
        <f t="shared" si="171"/>
        <v>11625.64</v>
      </c>
      <c r="I196" s="75">
        <f t="shared" si="167"/>
        <v>480.83</v>
      </c>
    </row>
    <row r="197" spans="1:9" x14ac:dyDescent="0.25">
      <c r="A197" s="255" t="s">
        <v>361</v>
      </c>
      <c r="B197" s="256"/>
      <c r="C197" s="257"/>
      <c r="D197" s="198" t="s">
        <v>394</v>
      </c>
      <c r="E197" s="199" t="e">
        <f>SUM(E199:E261)</f>
        <v>#DIV/0!</v>
      </c>
      <c r="F197" s="199">
        <f>SUM(F198:F200)</f>
        <v>15600.56</v>
      </c>
      <c r="G197" s="199">
        <f>SUM(G198:G200)</f>
        <v>2417.84</v>
      </c>
      <c r="H197" s="199">
        <f>SUM(H198:H200)</f>
        <v>11625.64</v>
      </c>
      <c r="I197" s="199">
        <f t="shared" si="167"/>
        <v>480.83</v>
      </c>
    </row>
    <row r="198" spans="1:9" hidden="1" x14ac:dyDescent="0.25">
      <c r="A198" s="258" t="s">
        <v>167</v>
      </c>
      <c r="B198" s="259"/>
      <c r="C198" s="260"/>
      <c r="D198" s="95" t="s">
        <v>99</v>
      </c>
      <c r="E198" s="118" t="e">
        <f>108209.19/K1</f>
        <v>#DIV/0!</v>
      </c>
      <c r="F198" s="62">
        <v>12948.49</v>
      </c>
      <c r="G198" s="62">
        <v>2017.84</v>
      </c>
      <c r="H198" s="62">
        <v>11225.64</v>
      </c>
      <c r="I198" s="63"/>
    </row>
    <row r="199" spans="1:9" hidden="1" x14ac:dyDescent="0.25">
      <c r="A199" s="258" t="s">
        <v>168</v>
      </c>
      <c r="B199" s="259"/>
      <c r="C199" s="260"/>
      <c r="D199" s="95" t="s">
        <v>100</v>
      </c>
      <c r="E199" s="118" t="e">
        <f>30000/K1</f>
        <v>#DIV/0!</v>
      </c>
      <c r="F199" s="62">
        <v>1543.16</v>
      </c>
      <c r="G199" s="62">
        <v>400</v>
      </c>
      <c r="H199" s="62">
        <v>400</v>
      </c>
      <c r="I199" s="63"/>
    </row>
    <row r="200" spans="1:9" hidden="1" x14ac:dyDescent="0.25">
      <c r="A200" s="258" t="s">
        <v>169</v>
      </c>
      <c r="B200" s="259"/>
      <c r="C200" s="260"/>
      <c r="D200" s="95" t="s">
        <v>225</v>
      </c>
      <c r="E200" s="118" t="e">
        <f>30000/K2</f>
        <v>#DIV/0!</v>
      </c>
      <c r="F200" s="62">
        <v>1108.9100000000001</v>
      </c>
      <c r="G200" s="62"/>
      <c r="H200" s="62"/>
      <c r="I200" s="63"/>
    </row>
    <row r="201" spans="1:9" ht="15" customHeight="1" x14ac:dyDescent="0.25">
      <c r="A201" s="267" t="s">
        <v>198</v>
      </c>
      <c r="B201" s="268"/>
      <c r="C201" s="269"/>
      <c r="D201" s="92" t="s">
        <v>202</v>
      </c>
      <c r="E201" s="114" t="e">
        <f>E202</f>
        <v>#DIV/0!</v>
      </c>
      <c r="F201" s="72">
        <f t="shared" ref="F201:H201" si="172">F202</f>
        <v>1125</v>
      </c>
      <c r="G201" s="72">
        <f t="shared" si="172"/>
        <v>0</v>
      </c>
      <c r="H201" s="72">
        <f t="shared" si="172"/>
        <v>0</v>
      </c>
      <c r="I201" s="72" t="e">
        <f t="shared" ref="I201:I205" si="173">H201/G201*100</f>
        <v>#DIV/0!</v>
      </c>
    </row>
    <row r="202" spans="1:9" ht="15" customHeight="1" x14ac:dyDescent="0.25">
      <c r="A202" s="270" t="s">
        <v>118</v>
      </c>
      <c r="B202" s="271"/>
      <c r="C202" s="272"/>
      <c r="D202" s="84" t="s">
        <v>17</v>
      </c>
      <c r="E202" s="115" t="e">
        <f>E203</f>
        <v>#DIV/0!</v>
      </c>
      <c r="F202" s="73">
        <f t="shared" ref="F202:H202" si="174">F203</f>
        <v>1125</v>
      </c>
      <c r="G202" s="73">
        <f t="shared" si="174"/>
        <v>0</v>
      </c>
      <c r="H202" s="73">
        <f t="shared" si="174"/>
        <v>0</v>
      </c>
      <c r="I202" s="73" t="e">
        <f t="shared" si="173"/>
        <v>#DIV/0!</v>
      </c>
    </row>
    <row r="203" spans="1:9" ht="25.5" x14ac:dyDescent="0.25">
      <c r="A203" s="261">
        <v>4</v>
      </c>
      <c r="B203" s="262"/>
      <c r="C203" s="263"/>
      <c r="D203" s="93" t="s">
        <v>21</v>
      </c>
      <c r="E203" s="116" t="e">
        <f>E204</f>
        <v>#DIV/0!</v>
      </c>
      <c r="F203" s="74">
        <f t="shared" ref="F203:H203" si="175">F204</f>
        <v>1125</v>
      </c>
      <c r="G203" s="74">
        <f t="shared" si="175"/>
        <v>0</v>
      </c>
      <c r="H203" s="74">
        <f t="shared" si="175"/>
        <v>0</v>
      </c>
      <c r="I203" s="74" t="e">
        <f t="shared" si="173"/>
        <v>#DIV/0!</v>
      </c>
    </row>
    <row r="204" spans="1:9" ht="25.5" x14ac:dyDescent="0.25">
      <c r="A204" s="252">
        <v>45</v>
      </c>
      <c r="B204" s="253"/>
      <c r="C204" s="254"/>
      <c r="D204" s="97" t="s">
        <v>226</v>
      </c>
      <c r="E204" s="117" t="e">
        <f>E206</f>
        <v>#DIV/0!</v>
      </c>
      <c r="F204" s="75">
        <f t="shared" ref="F204" si="176">F206</f>
        <v>1125</v>
      </c>
      <c r="G204" s="75">
        <f t="shared" ref="G204:H204" si="177">G206</f>
        <v>0</v>
      </c>
      <c r="H204" s="75">
        <f t="shared" si="177"/>
        <v>0</v>
      </c>
      <c r="I204" s="75" t="e">
        <f t="shared" si="173"/>
        <v>#DIV/0!</v>
      </c>
    </row>
    <row r="205" spans="1:9" x14ac:dyDescent="0.25">
      <c r="A205" s="255" t="s">
        <v>371</v>
      </c>
      <c r="B205" s="256"/>
      <c r="C205" s="257"/>
      <c r="D205" s="198" t="s">
        <v>395</v>
      </c>
      <c r="E205" s="199" t="e">
        <f>SUM(E207:E264)</f>
        <v>#DIV/0!</v>
      </c>
      <c r="F205" s="199">
        <f t="shared" ref="F205:H205" si="178">SUM(F206:F207)</f>
        <v>1125</v>
      </c>
      <c r="G205" s="199">
        <f t="shared" ref="G205" si="179">SUM(G206:G207)</f>
        <v>0</v>
      </c>
      <c r="H205" s="199">
        <f t="shared" si="178"/>
        <v>0</v>
      </c>
      <c r="I205" s="199" t="e">
        <f t="shared" si="173"/>
        <v>#DIV/0!</v>
      </c>
    </row>
    <row r="206" spans="1:9" ht="25.5" hidden="1" x14ac:dyDescent="0.25">
      <c r="A206" s="258" t="s">
        <v>192</v>
      </c>
      <c r="B206" s="259"/>
      <c r="C206" s="260"/>
      <c r="D206" s="95" t="s">
        <v>191</v>
      </c>
      <c r="E206" s="118" t="e">
        <f>242500/K1</f>
        <v>#DIV/0!</v>
      </c>
      <c r="F206" s="62">
        <v>1125</v>
      </c>
      <c r="G206" s="62"/>
      <c r="H206" s="62"/>
      <c r="I206" s="63"/>
    </row>
    <row r="207" spans="1:9" ht="15" customHeight="1" x14ac:dyDescent="0.25">
      <c r="A207" s="267" t="s">
        <v>227</v>
      </c>
      <c r="B207" s="268"/>
      <c r="C207" s="269"/>
      <c r="D207" s="92" t="s">
        <v>228</v>
      </c>
      <c r="E207" s="114" t="e">
        <f>E208</f>
        <v>#DIV/0!</v>
      </c>
      <c r="F207" s="72">
        <f t="shared" ref="F207:H207" si="180">F208</f>
        <v>0</v>
      </c>
      <c r="G207" s="72">
        <f t="shared" si="180"/>
        <v>0</v>
      </c>
      <c r="H207" s="72">
        <f t="shared" si="180"/>
        <v>0</v>
      </c>
      <c r="I207" s="72" t="e">
        <f t="shared" ref="I207:I210" si="181">H207/G207*100</f>
        <v>#DIV/0!</v>
      </c>
    </row>
    <row r="208" spans="1:9" ht="15" customHeight="1" x14ac:dyDescent="0.25">
      <c r="A208" s="270" t="s">
        <v>118</v>
      </c>
      <c r="B208" s="271"/>
      <c r="C208" s="272"/>
      <c r="D208" s="84" t="s">
        <v>17</v>
      </c>
      <c r="E208" s="115" t="e">
        <f>E209</f>
        <v>#DIV/0!</v>
      </c>
      <c r="F208" s="73">
        <f t="shared" ref="F208:H208" si="182">F209</f>
        <v>0</v>
      </c>
      <c r="G208" s="73">
        <f t="shared" si="182"/>
        <v>0</v>
      </c>
      <c r="H208" s="73">
        <f t="shared" si="182"/>
        <v>0</v>
      </c>
      <c r="I208" s="73" t="e">
        <f t="shared" si="181"/>
        <v>#DIV/0!</v>
      </c>
    </row>
    <row r="209" spans="1:17" x14ac:dyDescent="0.25">
      <c r="A209" s="261">
        <v>3</v>
      </c>
      <c r="B209" s="262"/>
      <c r="C209" s="263"/>
      <c r="D209" s="93" t="s">
        <v>229</v>
      </c>
      <c r="E209" s="116" t="e">
        <f>E210</f>
        <v>#DIV/0!</v>
      </c>
      <c r="F209" s="74">
        <f t="shared" ref="F209:H209" si="183">F210</f>
        <v>0</v>
      </c>
      <c r="G209" s="74">
        <f t="shared" si="183"/>
        <v>0</v>
      </c>
      <c r="H209" s="74">
        <f t="shared" si="183"/>
        <v>0</v>
      </c>
      <c r="I209" s="74" t="e">
        <f t="shared" si="181"/>
        <v>#DIV/0!</v>
      </c>
    </row>
    <row r="210" spans="1:17" x14ac:dyDescent="0.25">
      <c r="A210" s="252">
        <v>31</v>
      </c>
      <c r="B210" s="253"/>
      <c r="C210" s="254"/>
      <c r="D210" s="97" t="s">
        <v>32</v>
      </c>
      <c r="E210" s="117" t="e">
        <f>E211</f>
        <v>#DIV/0!</v>
      </c>
      <c r="F210" s="75">
        <f t="shared" ref="F210:H210" si="184">F211</f>
        <v>0</v>
      </c>
      <c r="G210" s="75">
        <f t="shared" si="184"/>
        <v>0</v>
      </c>
      <c r="H210" s="75">
        <f t="shared" si="184"/>
        <v>0</v>
      </c>
      <c r="I210" s="75" t="e">
        <f t="shared" si="181"/>
        <v>#DIV/0!</v>
      </c>
    </row>
    <row r="211" spans="1:17" hidden="1" x14ac:dyDescent="0.25">
      <c r="A211" s="258" t="s">
        <v>179</v>
      </c>
      <c r="B211" s="259"/>
      <c r="C211" s="260"/>
      <c r="D211" s="95" t="s">
        <v>89</v>
      </c>
      <c r="E211" s="118" t="e">
        <f>25000/K1</f>
        <v>#DIV/0!</v>
      </c>
      <c r="F211" s="62"/>
      <c r="G211" s="62"/>
      <c r="H211" s="62"/>
      <c r="I211" s="63"/>
    </row>
    <row r="212" spans="1:17" ht="15" customHeight="1" x14ac:dyDescent="0.25">
      <c r="A212" s="267" t="s">
        <v>234</v>
      </c>
      <c r="B212" s="268"/>
      <c r="C212" s="269"/>
      <c r="D212" s="92" t="s">
        <v>235</v>
      </c>
      <c r="E212" s="114" t="e">
        <f>E213</f>
        <v>#DIV/0!</v>
      </c>
      <c r="F212" s="72">
        <f t="shared" ref="F212:H214" si="185">F213</f>
        <v>900</v>
      </c>
      <c r="G212" s="72">
        <f t="shared" si="185"/>
        <v>1500</v>
      </c>
      <c r="H212" s="72">
        <f t="shared" si="185"/>
        <v>1500</v>
      </c>
      <c r="I212" s="72">
        <f t="shared" ref="I212:I216" si="186">H212/G212*100</f>
        <v>100</v>
      </c>
    </row>
    <row r="213" spans="1:17" ht="15" customHeight="1" x14ac:dyDescent="0.25">
      <c r="A213" s="270" t="s">
        <v>118</v>
      </c>
      <c r="B213" s="271"/>
      <c r="C213" s="272"/>
      <c r="D213" s="84" t="s">
        <v>17</v>
      </c>
      <c r="E213" s="115" t="e">
        <f>E214</f>
        <v>#DIV/0!</v>
      </c>
      <c r="F213" s="73">
        <f t="shared" si="185"/>
        <v>900</v>
      </c>
      <c r="G213" s="73">
        <f t="shared" si="185"/>
        <v>1500</v>
      </c>
      <c r="H213" s="73">
        <f t="shared" si="185"/>
        <v>1500</v>
      </c>
      <c r="I213" s="73">
        <f t="shared" si="186"/>
        <v>100</v>
      </c>
    </row>
    <row r="214" spans="1:17" x14ac:dyDescent="0.25">
      <c r="A214" s="261">
        <v>3</v>
      </c>
      <c r="B214" s="262"/>
      <c r="C214" s="263"/>
      <c r="D214" s="107" t="s">
        <v>229</v>
      </c>
      <c r="E214" s="116" t="e">
        <f>E215</f>
        <v>#DIV/0!</v>
      </c>
      <c r="F214" s="74">
        <f t="shared" si="185"/>
        <v>900</v>
      </c>
      <c r="G214" s="74">
        <f t="shared" si="185"/>
        <v>1500</v>
      </c>
      <c r="H214" s="74">
        <f t="shared" si="185"/>
        <v>1500</v>
      </c>
      <c r="I214" s="74">
        <f t="shared" si="186"/>
        <v>100</v>
      </c>
    </row>
    <row r="215" spans="1:17" ht="25.5" x14ac:dyDescent="0.25">
      <c r="A215" s="252">
        <v>42</v>
      </c>
      <c r="B215" s="253"/>
      <c r="C215" s="254"/>
      <c r="D215" s="97" t="s">
        <v>189</v>
      </c>
      <c r="E215" s="117" t="e">
        <f>E217</f>
        <v>#DIV/0!</v>
      </c>
      <c r="F215" s="75">
        <f>F217</f>
        <v>900</v>
      </c>
      <c r="G215" s="75">
        <f>G217</f>
        <v>1500</v>
      </c>
      <c r="H215" s="75">
        <f>H217</f>
        <v>1500</v>
      </c>
      <c r="I215" s="75">
        <f t="shared" si="186"/>
        <v>100</v>
      </c>
    </row>
    <row r="216" spans="1:17" x14ac:dyDescent="0.25">
      <c r="A216" s="255" t="s">
        <v>361</v>
      </c>
      <c r="B216" s="256"/>
      <c r="C216" s="257"/>
      <c r="D216" s="198" t="s">
        <v>236</v>
      </c>
      <c r="E216" s="199" t="e">
        <f>SUM(E218:E264)</f>
        <v>#DIV/0!</v>
      </c>
      <c r="F216" s="199">
        <f t="shared" ref="F216:H216" si="187">F217</f>
        <v>900</v>
      </c>
      <c r="G216" s="199">
        <f t="shared" si="187"/>
        <v>1500</v>
      </c>
      <c r="H216" s="199">
        <f t="shared" si="187"/>
        <v>1500</v>
      </c>
      <c r="I216" s="199">
        <f t="shared" si="186"/>
        <v>100</v>
      </c>
    </row>
    <row r="217" spans="1:17" hidden="1" x14ac:dyDescent="0.25">
      <c r="A217" s="258" t="s">
        <v>170</v>
      </c>
      <c r="B217" s="259"/>
      <c r="C217" s="260"/>
      <c r="D217" s="95" t="s">
        <v>236</v>
      </c>
      <c r="E217" s="118" t="e">
        <f>25000/K6</f>
        <v>#DIV/0!</v>
      </c>
      <c r="F217" s="62">
        <v>900</v>
      </c>
      <c r="G217" s="62">
        <v>1500</v>
      </c>
      <c r="H217" s="62">
        <v>1500</v>
      </c>
      <c r="I217" s="63"/>
    </row>
    <row r="218" spans="1:17" ht="24" x14ac:dyDescent="0.25">
      <c r="A218" s="264" t="s">
        <v>199</v>
      </c>
      <c r="B218" s="265"/>
      <c r="C218" s="266"/>
      <c r="D218" s="96" t="s">
        <v>87</v>
      </c>
      <c r="E218" s="119" t="e">
        <f>E219</f>
        <v>#DIV/0!</v>
      </c>
      <c r="F218" s="77">
        <f t="shared" ref="F218:H218" si="188">F219</f>
        <v>2996.33</v>
      </c>
      <c r="G218" s="77">
        <f>G219</f>
        <v>23234.84</v>
      </c>
      <c r="H218" s="77">
        <f t="shared" si="188"/>
        <v>54122.47</v>
      </c>
      <c r="I218" s="77">
        <f t="shared" ref="I218:I223" si="189">H218/G218*100</f>
        <v>232.94</v>
      </c>
      <c r="L218" s="52"/>
      <c r="M218" s="52"/>
      <c r="N218" s="52"/>
      <c r="O218" s="52"/>
      <c r="P218" s="52"/>
      <c r="Q218" s="52"/>
    </row>
    <row r="219" spans="1:17" ht="28.5" customHeight="1" x14ac:dyDescent="0.25">
      <c r="A219" s="267" t="s">
        <v>200</v>
      </c>
      <c r="B219" s="268"/>
      <c r="C219" s="269"/>
      <c r="D219" s="92" t="s">
        <v>201</v>
      </c>
      <c r="E219" s="114" t="e">
        <f>E220</f>
        <v>#DIV/0!</v>
      </c>
      <c r="F219" s="72">
        <f t="shared" ref="F219:H219" si="190">F220</f>
        <v>2996.33</v>
      </c>
      <c r="G219" s="72">
        <f t="shared" si="190"/>
        <v>23234.84</v>
      </c>
      <c r="H219" s="72">
        <f t="shared" si="190"/>
        <v>54122.47</v>
      </c>
      <c r="I219" s="72">
        <f t="shared" si="189"/>
        <v>232.94</v>
      </c>
    </row>
    <row r="220" spans="1:17" ht="15" customHeight="1" x14ac:dyDescent="0.25">
      <c r="A220" s="270" t="s">
        <v>118</v>
      </c>
      <c r="B220" s="271"/>
      <c r="C220" s="272"/>
      <c r="D220" s="84" t="s">
        <v>17</v>
      </c>
      <c r="E220" s="115" t="e">
        <f>E221</f>
        <v>#DIV/0!</v>
      </c>
      <c r="F220" s="73">
        <f t="shared" ref="F220:H220" si="191">F221</f>
        <v>2996.33</v>
      </c>
      <c r="G220" s="73">
        <f t="shared" si="191"/>
        <v>23234.84</v>
      </c>
      <c r="H220" s="73">
        <f t="shared" si="191"/>
        <v>54122.47</v>
      </c>
      <c r="I220" s="73">
        <f t="shared" si="189"/>
        <v>232.94</v>
      </c>
    </row>
    <row r="221" spans="1:17" x14ac:dyDescent="0.25">
      <c r="A221" s="261">
        <v>3</v>
      </c>
      <c r="B221" s="262"/>
      <c r="C221" s="263"/>
      <c r="D221" s="93" t="s">
        <v>19</v>
      </c>
      <c r="E221" s="116" t="e">
        <f>E222</f>
        <v>#DIV/0!</v>
      </c>
      <c r="F221" s="74">
        <f t="shared" ref="F221:H221" si="192">F222</f>
        <v>2996.33</v>
      </c>
      <c r="G221" s="74">
        <f t="shared" si="192"/>
        <v>23234.84</v>
      </c>
      <c r="H221" s="74">
        <f t="shared" si="192"/>
        <v>54122.47</v>
      </c>
      <c r="I221" s="74">
        <f t="shared" si="189"/>
        <v>232.94</v>
      </c>
    </row>
    <row r="222" spans="1:17" ht="25.5" x14ac:dyDescent="0.25">
      <c r="A222" s="252">
        <v>32</v>
      </c>
      <c r="B222" s="253"/>
      <c r="C222" s="254"/>
      <c r="D222" s="97" t="s">
        <v>189</v>
      </c>
      <c r="E222" s="117" t="e">
        <f>E224</f>
        <v>#DIV/0!</v>
      </c>
      <c r="F222" s="75">
        <f t="shared" ref="F222" si="193">F224</f>
        <v>2996.33</v>
      </c>
      <c r="G222" s="75">
        <f t="shared" ref="G222:H222" si="194">G224</f>
        <v>23234.84</v>
      </c>
      <c r="H222" s="75">
        <f t="shared" si="194"/>
        <v>54122.47</v>
      </c>
      <c r="I222" s="75">
        <f t="shared" si="189"/>
        <v>232.94</v>
      </c>
    </row>
    <row r="223" spans="1:17" x14ac:dyDescent="0.25">
      <c r="A223" s="255" t="s">
        <v>320</v>
      </c>
      <c r="B223" s="256"/>
      <c r="C223" s="257"/>
      <c r="D223" s="198" t="s">
        <v>389</v>
      </c>
      <c r="E223" s="199" t="e">
        <f>SUM(E225:E264)</f>
        <v>#DIV/0!</v>
      </c>
      <c r="F223" s="199">
        <f t="shared" ref="F223:H223" si="195">F224</f>
        <v>2996.33</v>
      </c>
      <c r="G223" s="199">
        <f t="shared" si="195"/>
        <v>23234.84</v>
      </c>
      <c r="H223" s="199">
        <f t="shared" si="195"/>
        <v>54122.47</v>
      </c>
      <c r="I223" s="199">
        <f t="shared" si="189"/>
        <v>232.94</v>
      </c>
    </row>
    <row r="224" spans="1:17" ht="25.5" hidden="1" x14ac:dyDescent="0.25">
      <c r="A224" s="258" t="s">
        <v>165</v>
      </c>
      <c r="B224" s="259"/>
      <c r="C224" s="260"/>
      <c r="D224" s="95" t="s">
        <v>188</v>
      </c>
      <c r="E224" s="118" t="e">
        <f>370395.66/K1</f>
        <v>#DIV/0!</v>
      </c>
      <c r="F224" s="62">
        <v>2996.33</v>
      </c>
      <c r="G224" s="62">
        <v>23234.84</v>
      </c>
      <c r="H224" s="62">
        <v>54122.47</v>
      </c>
      <c r="I224" s="199"/>
    </row>
    <row r="225" spans="1:11" ht="15" customHeight="1" x14ac:dyDescent="0.25">
      <c r="A225" s="270" t="s">
        <v>112</v>
      </c>
      <c r="B225" s="271"/>
      <c r="C225" s="272"/>
      <c r="D225" s="84" t="s">
        <v>113</v>
      </c>
      <c r="E225" s="115">
        <f>E226</f>
        <v>0</v>
      </c>
      <c r="F225" s="73">
        <f t="shared" ref="F225:H225" si="196">F226</f>
        <v>0</v>
      </c>
      <c r="G225" s="73">
        <f t="shared" si="196"/>
        <v>0</v>
      </c>
      <c r="H225" s="73">
        <f t="shared" si="196"/>
        <v>0</v>
      </c>
      <c r="I225" s="73" t="e">
        <f t="shared" ref="I225:I228" si="197">H225/G225*100</f>
        <v>#DIV/0!</v>
      </c>
    </row>
    <row r="226" spans="1:11" x14ac:dyDescent="0.25">
      <c r="A226" s="261">
        <v>3</v>
      </c>
      <c r="B226" s="262"/>
      <c r="C226" s="263"/>
      <c r="D226" s="93" t="s">
        <v>19</v>
      </c>
      <c r="E226" s="116">
        <f>E227</f>
        <v>0</v>
      </c>
      <c r="F226" s="74">
        <f t="shared" ref="F226:H226" si="198">F227</f>
        <v>0</v>
      </c>
      <c r="G226" s="74">
        <f t="shared" si="198"/>
        <v>0</v>
      </c>
      <c r="H226" s="74">
        <f t="shared" si="198"/>
        <v>0</v>
      </c>
      <c r="I226" s="74" t="e">
        <f t="shared" si="197"/>
        <v>#DIV/0!</v>
      </c>
    </row>
    <row r="227" spans="1:11" ht="25.5" x14ac:dyDescent="0.25">
      <c r="A227" s="252">
        <v>32</v>
      </c>
      <c r="B227" s="253"/>
      <c r="C227" s="254"/>
      <c r="D227" s="97" t="s">
        <v>189</v>
      </c>
      <c r="E227" s="117">
        <f>E229</f>
        <v>0</v>
      </c>
      <c r="F227" s="75">
        <f t="shared" ref="F227" si="199">F229</f>
        <v>0</v>
      </c>
      <c r="G227" s="75">
        <f t="shared" ref="G227:H227" si="200">G229</f>
        <v>0</v>
      </c>
      <c r="H227" s="75">
        <f t="shared" si="200"/>
        <v>0</v>
      </c>
      <c r="I227" s="75" t="e">
        <f t="shared" si="197"/>
        <v>#DIV/0!</v>
      </c>
    </row>
    <row r="228" spans="1:11" x14ac:dyDescent="0.25">
      <c r="A228" s="255" t="s">
        <v>320</v>
      </c>
      <c r="B228" s="256"/>
      <c r="C228" s="257"/>
      <c r="D228" s="198" t="s">
        <v>389</v>
      </c>
      <c r="E228" s="199" t="e">
        <f>SUM(E230:E264)</f>
        <v>#DIV/0!</v>
      </c>
      <c r="F228" s="199">
        <f t="shared" ref="F228:H228" si="201">F229</f>
        <v>0</v>
      </c>
      <c r="G228" s="199">
        <f t="shared" si="201"/>
        <v>0</v>
      </c>
      <c r="H228" s="199">
        <f t="shared" si="201"/>
        <v>0</v>
      </c>
      <c r="I228" s="199" t="e">
        <f t="shared" si="197"/>
        <v>#DIV/0!</v>
      </c>
    </row>
    <row r="229" spans="1:11" ht="25.5" hidden="1" x14ac:dyDescent="0.25">
      <c r="A229" s="258" t="s">
        <v>165</v>
      </c>
      <c r="B229" s="259"/>
      <c r="C229" s="260"/>
      <c r="D229" s="95" t="s">
        <v>188</v>
      </c>
      <c r="E229" s="118">
        <v>0</v>
      </c>
      <c r="F229" s="62"/>
      <c r="G229" s="62">
        <v>0</v>
      </c>
      <c r="H229" s="62">
        <v>0</v>
      </c>
      <c r="I229" s="63"/>
    </row>
    <row r="230" spans="1:11" ht="53.25" customHeight="1" x14ac:dyDescent="0.25">
      <c r="A230" s="273" t="s">
        <v>114</v>
      </c>
      <c r="B230" s="274"/>
      <c r="C230" s="275"/>
      <c r="D230" s="99" t="s">
        <v>88</v>
      </c>
      <c r="E230" s="121" t="e">
        <f>E231+E332+E369+E407+E423</f>
        <v>#DIV/0!</v>
      </c>
      <c r="F230" s="87">
        <f>F231+F332+F369+F407+F423+F354+F438</f>
        <v>1707278.91</v>
      </c>
      <c r="G230" s="87">
        <f>G231+G332+G369+G407+G423+G354+G438</f>
        <v>1888172.59</v>
      </c>
      <c r="H230" s="87">
        <f>H231+H332+H369+H407+H423+H354+H438</f>
        <v>2070805.86</v>
      </c>
      <c r="I230" s="87">
        <f t="shared" ref="I230:I235" si="202">H230/G230*100</f>
        <v>109.67</v>
      </c>
      <c r="K230" s="40">
        <f>815094.87-H230</f>
        <v>-1255710.99</v>
      </c>
    </row>
    <row r="231" spans="1:11" ht="14.25" customHeight="1" x14ac:dyDescent="0.25">
      <c r="A231" s="267" t="s">
        <v>50</v>
      </c>
      <c r="B231" s="268"/>
      <c r="C231" s="269"/>
      <c r="D231" s="92" t="s">
        <v>19</v>
      </c>
      <c r="E231" s="114" t="e">
        <f>E232+E265+E283+E321</f>
        <v>#DIV/0!</v>
      </c>
      <c r="F231" s="72">
        <f>F232+F265+F283+F321</f>
        <v>33316.28</v>
      </c>
      <c r="G231" s="72">
        <f>G232+G265+G283+G321</f>
        <v>42380</v>
      </c>
      <c r="H231" s="72">
        <f>H232+H265+H283+H321</f>
        <v>27187.51</v>
      </c>
      <c r="I231" s="72">
        <f t="shared" si="202"/>
        <v>64.150000000000006</v>
      </c>
    </row>
    <row r="232" spans="1:11" ht="15" customHeight="1" x14ac:dyDescent="0.25">
      <c r="A232" s="270" t="s">
        <v>125</v>
      </c>
      <c r="B232" s="271"/>
      <c r="C232" s="272"/>
      <c r="D232" s="84" t="s">
        <v>36</v>
      </c>
      <c r="E232" s="115" t="e">
        <f>E233+E257</f>
        <v>#DIV/0!</v>
      </c>
      <c r="F232" s="73">
        <f>F233+F257</f>
        <v>3950.07</v>
      </c>
      <c r="G232" s="73">
        <f>G233+G257</f>
        <v>3910</v>
      </c>
      <c r="H232" s="73">
        <f>H233+H257</f>
        <v>332.21</v>
      </c>
      <c r="I232" s="73">
        <f t="shared" si="202"/>
        <v>8.5</v>
      </c>
    </row>
    <row r="233" spans="1:11" x14ac:dyDescent="0.25">
      <c r="A233" s="261">
        <v>3</v>
      </c>
      <c r="B233" s="262"/>
      <c r="C233" s="263"/>
      <c r="D233" s="93" t="s">
        <v>19</v>
      </c>
      <c r="E233" s="116" t="e">
        <f>E234+E253</f>
        <v>#DIV/0!</v>
      </c>
      <c r="F233" s="74">
        <f>F234+F253</f>
        <v>354.51</v>
      </c>
      <c r="G233" s="74">
        <f>G234+G253</f>
        <v>2010</v>
      </c>
      <c r="H233" s="74">
        <f>H234+H253</f>
        <v>257.52</v>
      </c>
      <c r="I233" s="74">
        <f t="shared" si="202"/>
        <v>12.81</v>
      </c>
    </row>
    <row r="234" spans="1:11" x14ac:dyDescent="0.25">
      <c r="A234" s="252">
        <v>32</v>
      </c>
      <c r="B234" s="253"/>
      <c r="C234" s="254"/>
      <c r="D234" s="97" t="s">
        <v>32</v>
      </c>
      <c r="E234" s="117" t="e">
        <f>SUM(E236:E252)</f>
        <v>#DIV/0!</v>
      </c>
      <c r="F234" s="75">
        <f>F235+F239+F244+F247+F250</f>
        <v>247.38</v>
      </c>
      <c r="G234" s="75">
        <f>G235+G239+G244+G247+G250</f>
        <v>1990</v>
      </c>
      <c r="H234" s="75">
        <f>H235+H239+H244+H247+H250</f>
        <v>155.97</v>
      </c>
      <c r="I234" s="75">
        <f t="shared" si="202"/>
        <v>7.84</v>
      </c>
      <c r="J234" s="40">
        <f>H4-1181390.22</f>
        <v>1104682.2</v>
      </c>
    </row>
    <row r="235" spans="1:11" x14ac:dyDescent="0.25">
      <c r="A235" s="255" t="s">
        <v>305</v>
      </c>
      <c r="B235" s="256"/>
      <c r="C235" s="257"/>
      <c r="D235" s="198" t="s">
        <v>393</v>
      </c>
      <c r="E235" s="199" t="e">
        <f>SUM(E237:E271)</f>
        <v>#DIV/0!</v>
      </c>
      <c r="F235" s="199">
        <f t="shared" ref="F235" si="203">SUM(F236:F238)</f>
        <v>0</v>
      </c>
      <c r="G235" s="199">
        <f t="shared" ref="G235:H235" si="204">SUM(G236:G238)</f>
        <v>200</v>
      </c>
      <c r="H235" s="199">
        <f t="shared" si="204"/>
        <v>0</v>
      </c>
      <c r="I235" s="199">
        <f t="shared" si="202"/>
        <v>0</v>
      </c>
    </row>
    <row r="236" spans="1:11" hidden="1" x14ac:dyDescent="0.25">
      <c r="A236" s="258">
        <v>3211</v>
      </c>
      <c r="B236" s="259"/>
      <c r="C236" s="260"/>
      <c r="D236" s="95" t="s">
        <v>52</v>
      </c>
      <c r="E236" s="118" t="e">
        <f>1209.15/K1</f>
        <v>#DIV/0!</v>
      </c>
      <c r="F236" s="81">
        <v>0</v>
      </c>
      <c r="G236" s="81">
        <v>100</v>
      </c>
      <c r="H236" s="81">
        <v>0</v>
      </c>
      <c r="I236" s="81"/>
    </row>
    <row r="237" spans="1:11" hidden="1" x14ac:dyDescent="0.25">
      <c r="A237" s="258">
        <v>3213</v>
      </c>
      <c r="B237" s="259">
        <v>3213</v>
      </c>
      <c r="C237" s="260">
        <v>3213</v>
      </c>
      <c r="D237" s="95" t="s">
        <v>53</v>
      </c>
      <c r="E237" s="118">
        <v>0</v>
      </c>
      <c r="F237" s="81">
        <v>0</v>
      </c>
      <c r="G237" s="81">
        <v>50</v>
      </c>
      <c r="H237" s="81">
        <v>0</v>
      </c>
      <c r="I237" s="81"/>
    </row>
    <row r="238" spans="1:11" hidden="1" x14ac:dyDescent="0.25">
      <c r="A238" s="258" t="s">
        <v>182</v>
      </c>
      <c r="B238" s="259">
        <v>3213</v>
      </c>
      <c r="C238" s="260">
        <v>3213</v>
      </c>
      <c r="D238" s="95" t="s">
        <v>183</v>
      </c>
      <c r="E238" s="118">
        <v>0</v>
      </c>
      <c r="F238" s="81">
        <v>0</v>
      </c>
      <c r="G238" s="81">
        <v>50</v>
      </c>
      <c r="H238" s="81">
        <v>0</v>
      </c>
      <c r="I238" s="81"/>
    </row>
    <row r="239" spans="1:11" x14ac:dyDescent="0.25">
      <c r="A239" s="255">
        <v>322</v>
      </c>
      <c r="B239" s="256"/>
      <c r="C239" s="257"/>
      <c r="D239" s="198" t="s">
        <v>32</v>
      </c>
      <c r="E239" s="199" t="e">
        <f>SUM(E242:E264)</f>
        <v>#DIV/0!</v>
      </c>
      <c r="F239" s="199">
        <f t="shared" ref="F239" si="205">SUM(F240:F242)</f>
        <v>44.65</v>
      </c>
      <c r="G239" s="199">
        <f>SUM(G240:G243)</f>
        <v>550</v>
      </c>
      <c r="H239" s="199">
        <f>SUM(H240:H243)</f>
        <v>7.89</v>
      </c>
      <c r="I239" s="199">
        <f t="shared" ref="I239" si="206">H239/G239*100</f>
        <v>1.43</v>
      </c>
    </row>
    <row r="240" spans="1:11" hidden="1" x14ac:dyDescent="0.25">
      <c r="A240" s="258">
        <v>3221</v>
      </c>
      <c r="B240" s="259">
        <v>3221</v>
      </c>
      <c r="C240" s="260">
        <v>3221</v>
      </c>
      <c r="D240" s="95" t="s">
        <v>54</v>
      </c>
      <c r="E240" s="118" t="e">
        <f>107.84/K1</f>
        <v>#DIV/0!</v>
      </c>
      <c r="F240" s="81">
        <v>44.65</v>
      </c>
      <c r="G240" s="81">
        <v>100</v>
      </c>
      <c r="H240" s="81">
        <v>6.66</v>
      </c>
      <c r="I240" s="81"/>
    </row>
    <row r="241" spans="1:9" hidden="1" x14ac:dyDescent="0.25">
      <c r="A241" s="258">
        <v>3223</v>
      </c>
      <c r="B241" s="259">
        <v>3223</v>
      </c>
      <c r="C241" s="260">
        <v>3223</v>
      </c>
      <c r="D241" s="95" t="s">
        <v>55</v>
      </c>
      <c r="E241" s="118">
        <v>0</v>
      </c>
      <c r="F241" s="81">
        <v>0</v>
      </c>
      <c r="G241" s="81">
        <v>50</v>
      </c>
      <c r="H241" s="81">
        <v>0</v>
      </c>
      <c r="I241" s="81"/>
    </row>
    <row r="242" spans="1:9" hidden="1" x14ac:dyDescent="0.25">
      <c r="A242" s="258" t="s">
        <v>164</v>
      </c>
      <c r="B242" s="259">
        <v>3223</v>
      </c>
      <c r="C242" s="260">
        <v>3223</v>
      </c>
      <c r="D242" s="98" t="s">
        <v>72</v>
      </c>
      <c r="E242" s="118" t="e">
        <f>430.86/K1</f>
        <v>#DIV/0!</v>
      </c>
      <c r="F242" s="81">
        <v>0</v>
      </c>
      <c r="G242" s="81">
        <v>200</v>
      </c>
      <c r="H242" s="81">
        <v>0</v>
      </c>
      <c r="I242" s="81"/>
    </row>
    <row r="243" spans="1:9" hidden="1" x14ac:dyDescent="0.25">
      <c r="A243" s="258" t="s">
        <v>179</v>
      </c>
      <c r="B243" s="259">
        <v>3223</v>
      </c>
      <c r="C243" s="260">
        <v>3223</v>
      </c>
      <c r="D243" s="98" t="s">
        <v>56</v>
      </c>
      <c r="E243" s="118" t="e">
        <f>430.86/K2</f>
        <v>#DIV/0!</v>
      </c>
      <c r="F243" s="81">
        <v>0</v>
      </c>
      <c r="G243" s="81">
        <v>200</v>
      </c>
      <c r="H243" s="81">
        <v>1.23</v>
      </c>
      <c r="I243" s="81"/>
    </row>
    <row r="244" spans="1:9" x14ac:dyDescent="0.25">
      <c r="A244" s="255">
        <v>322</v>
      </c>
      <c r="B244" s="256"/>
      <c r="C244" s="257"/>
      <c r="D244" s="198" t="s">
        <v>396</v>
      </c>
      <c r="E244" s="199" t="e">
        <f>SUM(E248:E264)</f>
        <v>#DIV/0!</v>
      </c>
      <c r="F244" s="199">
        <f t="shared" ref="F244" si="207">SUM(F245:F246)</f>
        <v>66.3</v>
      </c>
      <c r="G244" s="199">
        <f t="shared" ref="G244:H244" si="208">SUM(G245:G246)</f>
        <v>320</v>
      </c>
      <c r="H244" s="199">
        <f t="shared" si="208"/>
        <v>0</v>
      </c>
      <c r="I244" s="199">
        <f t="shared" ref="I244" si="209">H244/G244*100</f>
        <v>0</v>
      </c>
    </row>
    <row r="245" spans="1:9" hidden="1" x14ac:dyDescent="0.25">
      <c r="A245" s="100">
        <v>3231</v>
      </c>
      <c r="B245" s="101"/>
      <c r="C245" s="102"/>
      <c r="D245" s="95" t="s">
        <v>58</v>
      </c>
      <c r="E245" s="118" t="e">
        <f>915.24/K1</f>
        <v>#DIV/0!</v>
      </c>
      <c r="F245" s="81">
        <v>11.09</v>
      </c>
      <c r="G245" s="81">
        <v>20</v>
      </c>
      <c r="H245" s="81">
        <v>0</v>
      </c>
      <c r="I245" s="81"/>
    </row>
    <row r="246" spans="1:9" ht="26.25" hidden="1" x14ac:dyDescent="0.25">
      <c r="A246" s="258" t="s">
        <v>165</v>
      </c>
      <c r="B246" s="259">
        <v>3233</v>
      </c>
      <c r="C246" s="260">
        <v>3233</v>
      </c>
      <c r="D246" s="98" t="s">
        <v>90</v>
      </c>
      <c r="E246" s="118" t="e">
        <f>43.34/K1</f>
        <v>#DIV/0!</v>
      </c>
      <c r="F246" s="81">
        <v>55.21</v>
      </c>
      <c r="G246" s="81">
        <v>300</v>
      </c>
      <c r="H246" s="81">
        <v>0</v>
      </c>
      <c r="I246" s="81"/>
    </row>
    <row r="247" spans="1:9" x14ac:dyDescent="0.25">
      <c r="A247" s="255" t="s">
        <v>320</v>
      </c>
      <c r="B247" s="256"/>
      <c r="C247" s="257"/>
      <c r="D247" s="198" t="s">
        <v>389</v>
      </c>
      <c r="E247" s="199" t="e">
        <f>SUM(E249:E264)</f>
        <v>#DIV/0!</v>
      </c>
      <c r="F247" s="199">
        <f>SUM(F248:F249)</f>
        <v>97.5</v>
      </c>
      <c r="G247" s="199">
        <f>SUM(G248:G249)</f>
        <v>320</v>
      </c>
      <c r="H247" s="199">
        <f>SUM(H248:H249)</f>
        <v>0</v>
      </c>
      <c r="I247" s="199">
        <f t="shared" ref="I247" si="210">H247/G247*100</f>
        <v>0</v>
      </c>
    </row>
    <row r="248" spans="1:9" hidden="1" x14ac:dyDescent="0.25">
      <c r="A248" s="258">
        <v>3235</v>
      </c>
      <c r="B248" s="259">
        <v>3235</v>
      </c>
      <c r="C248" s="260">
        <v>3235</v>
      </c>
      <c r="D248" s="95" t="s">
        <v>61</v>
      </c>
      <c r="E248" s="118" t="e">
        <f>300/K1</f>
        <v>#DIV/0!</v>
      </c>
      <c r="F248" s="81">
        <v>0</v>
      </c>
      <c r="G248" s="81">
        <v>20</v>
      </c>
      <c r="H248" s="81">
        <v>0</v>
      </c>
      <c r="I248" s="81"/>
    </row>
    <row r="249" spans="1:9" hidden="1" x14ac:dyDescent="0.25">
      <c r="A249" s="258">
        <v>3239</v>
      </c>
      <c r="B249" s="259">
        <v>3239</v>
      </c>
      <c r="C249" s="260">
        <v>3239</v>
      </c>
      <c r="D249" s="95" t="s">
        <v>65</v>
      </c>
      <c r="E249" s="118" t="e">
        <f>295.8/K1</f>
        <v>#DIV/0!</v>
      </c>
      <c r="F249" s="81">
        <v>97.5</v>
      </c>
      <c r="G249" s="81">
        <v>300</v>
      </c>
      <c r="H249" s="81">
        <v>0</v>
      </c>
      <c r="I249" s="81"/>
    </row>
    <row r="250" spans="1:9" x14ac:dyDescent="0.25">
      <c r="A250" s="255" t="s">
        <v>336</v>
      </c>
      <c r="B250" s="256"/>
      <c r="C250" s="257"/>
      <c r="D250" s="198" t="s">
        <v>95</v>
      </c>
      <c r="E250" s="199" t="e">
        <f>SUM(E252:E264)</f>
        <v>#DIV/0!</v>
      </c>
      <c r="F250" s="199">
        <f t="shared" ref="F250" si="211">SUM(F251:F252)</f>
        <v>38.93</v>
      </c>
      <c r="G250" s="199">
        <f t="shared" ref="G250:H250" si="212">SUM(G251:G252)</f>
        <v>600</v>
      </c>
      <c r="H250" s="199">
        <f t="shared" si="212"/>
        <v>148.08000000000001</v>
      </c>
      <c r="I250" s="199">
        <f t="shared" ref="I250" si="213">H250/G250*100</f>
        <v>24.68</v>
      </c>
    </row>
    <row r="251" spans="1:9" hidden="1" x14ac:dyDescent="0.25">
      <c r="A251" s="258">
        <v>3293</v>
      </c>
      <c r="B251" s="259">
        <v>3293</v>
      </c>
      <c r="C251" s="260">
        <v>3293</v>
      </c>
      <c r="D251" s="95" t="s">
        <v>66</v>
      </c>
      <c r="E251" s="118" t="e">
        <f>2245.43/K1</f>
        <v>#DIV/0!</v>
      </c>
      <c r="F251" s="81">
        <v>0</v>
      </c>
      <c r="G251" s="81">
        <v>300</v>
      </c>
      <c r="H251" s="81">
        <v>0</v>
      </c>
      <c r="I251" s="81"/>
    </row>
    <row r="252" spans="1:9" hidden="1" x14ac:dyDescent="0.25">
      <c r="A252" s="258">
        <v>3299</v>
      </c>
      <c r="B252" s="259">
        <v>3299</v>
      </c>
      <c r="C252" s="260">
        <v>3299</v>
      </c>
      <c r="D252" s="95" t="s">
        <v>69</v>
      </c>
      <c r="E252" s="118" t="e">
        <f>7468.88/K1</f>
        <v>#DIV/0!</v>
      </c>
      <c r="F252" s="81">
        <v>38.93</v>
      </c>
      <c r="G252" s="81">
        <v>300</v>
      </c>
      <c r="H252" s="81">
        <v>148.08000000000001</v>
      </c>
      <c r="I252" s="63"/>
    </row>
    <row r="253" spans="1:9" x14ac:dyDescent="0.25">
      <c r="A253" s="252">
        <v>34</v>
      </c>
      <c r="B253" s="253"/>
      <c r="C253" s="254"/>
      <c r="D253" s="97" t="s">
        <v>92</v>
      </c>
      <c r="E253" s="117" t="e">
        <f>SUM(E255:E256)</f>
        <v>#DIV/0!</v>
      </c>
      <c r="F253" s="82">
        <f t="shared" ref="F253" si="214">SUM(F255:F256)</f>
        <v>107.13</v>
      </c>
      <c r="G253" s="82">
        <f t="shared" ref="G253:H253" si="215">SUM(G255:G256)</f>
        <v>20</v>
      </c>
      <c r="H253" s="82">
        <f t="shared" si="215"/>
        <v>101.55</v>
      </c>
      <c r="I253" s="75">
        <f t="shared" ref="I253:I254" si="216">H253/G253*100</f>
        <v>507.75</v>
      </c>
    </row>
    <row r="254" spans="1:9" x14ac:dyDescent="0.25">
      <c r="A254" s="255" t="s">
        <v>345</v>
      </c>
      <c r="B254" s="256"/>
      <c r="C254" s="257"/>
      <c r="D254" s="198" t="s">
        <v>92</v>
      </c>
      <c r="E254" s="199" t="e">
        <f>SUM(E256:E264)</f>
        <v>#DIV/0!</v>
      </c>
      <c r="F254" s="199">
        <f t="shared" ref="F254" si="217">SUM(F255:F256)</f>
        <v>107.13</v>
      </c>
      <c r="G254" s="199">
        <f t="shared" ref="G254:H254" si="218">SUM(G255:G256)</f>
        <v>20</v>
      </c>
      <c r="H254" s="199">
        <f t="shared" si="218"/>
        <v>101.55</v>
      </c>
      <c r="I254" s="199">
        <f t="shared" si="216"/>
        <v>507.75</v>
      </c>
    </row>
    <row r="255" spans="1:9" ht="26.25" hidden="1" x14ac:dyDescent="0.25">
      <c r="A255" s="258" t="s">
        <v>155</v>
      </c>
      <c r="B255" s="259">
        <v>3293</v>
      </c>
      <c r="C255" s="260">
        <v>3293</v>
      </c>
      <c r="D255" s="98" t="s">
        <v>93</v>
      </c>
      <c r="E255" s="118" t="e">
        <f>172.82/K1</f>
        <v>#DIV/0!</v>
      </c>
      <c r="F255" s="81">
        <v>102.23</v>
      </c>
      <c r="G255" s="81">
        <v>10</v>
      </c>
      <c r="H255" s="81">
        <v>101.55</v>
      </c>
      <c r="I255" s="81"/>
    </row>
    <row r="256" spans="1:9" hidden="1" x14ac:dyDescent="0.25">
      <c r="A256" s="258" t="s">
        <v>166</v>
      </c>
      <c r="B256" s="259">
        <v>3299</v>
      </c>
      <c r="C256" s="260">
        <v>3299</v>
      </c>
      <c r="D256" s="98" t="s">
        <v>94</v>
      </c>
      <c r="E256" s="118" t="e">
        <f>204.28/K1</f>
        <v>#DIV/0!</v>
      </c>
      <c r="F256" s="81">
        <v>4.9000000000000004</v>
      </c>
      <c r="G256" s="81">
        <v>10</v>
      </c>
      <c r="H256" s="81">
        <v>0</v>
      </c>
      <c r="I256" s="81"/>
    </row>
    <row r="257" spans="1:9" ht="25.5" x14ac:dyDescent="0.25">
      <c r="A257" s="261">
        <v>4</v>
      </c>
      <c r="B257" s="262"/>
      <c r="C257" s="263"/>
      <c r="D257" s="93" t="s">
        <v>21</v>
      </c>
      <c r="E257" s="116" t="e">
        <f>E258</f>
        <v>#DIV/0!</v>
      </c>
      <c r="F257" s="74">
        <f t="shared" ref="F257:H257" si="219">F258</f>
        <v>3595.56</v>
      </c>
      <c r="G257" s="74">
        <f t="shared" si="219"/>
        <v>1900</v>
      </c>
      <c r="H257" s="74">
        <f t="shared" si="219"/>
        <v>74.69</v>
      </c>
      <c r="I257" s="74">
        <f t="shared" ref="I257:I259" si="220">H257/G257*100</f>
        <v>3.93</v>
      </c>
    </row>
    <row r="258" spans="1:9" ht="25.5" x14ac:dyDescent="0.25">
      <c r="A258" s="252">
        <v>42</v>
      </c>
      <c r="B258" s="253"/>
      <c r="C258" s="254"/>
      <c r="D258" s="97" t="s">
        <v>98</v>
      </c>
      <c r="E258" s="117" t="e">
        <f>SUM(E260:E264)</f>
        <v>#DIV/0!</v>
      </c>
      <c r="F258" s="75">
        <f t="shared" ref="F258" si="221">F259+F263</f>
        <v>3595.56</v>
      </c>
      <c r="G258" s="75">
        <f t="shared" ref="G258:H258" si="222">G259+G263</f>
        <v>1900</v>
      </c>
      <c r="H258" s="75">
        <f t="shared" si="222"/>
        <v>74.69</v>
      </c>
      <c r="I258" s="75">
        <f t="shared" si="220"/>
        <v>3.93</v>
      </c>
    </row>
    <row r="259" spans="1:9" x14ac:dyDescent="0.25">
      <c r="A259" s="255" t="s">
        <v>361</v>
      </c>
      <c r="B259" s="256"/>
      <c r="C259" s="257"/>
      <c r="D259" s="198" t="s">
        <v>394</v>
      </c>
      <c r="E259" s="199" t="e">
        <f>SUM(E261:E310)</f>
        <v>#DIV/0!</v>
      </c>
      <c r="F259" s="199">
        <f t="shared" ref="F259" si="223">SUM(F260:F262)</f>
        <v>3557.81</v>
      </c>
      <c r="G259" s="199">
        <f t="shared" ref="G259:H259" si="224">SUM(G260:G262)</f>
        <v>1800</v>
      </c>
      <c r="H259" s="199">
        <f t="shared" si="224"/>
        <v>64.38</v>
      </c>
      <c r="I259" s="199">
        <f t="shared" si="220"/>
        <v>3.58</v>
      </c>
    </row>
    <row r="260" spans="1:9" hidden="1" x14ac:dyDescent="0.25">
      <c r="A260" s="258" t="s">
        <v>167</v>
      </c>
      <c r="B260" s="259"/>
      <c r="C260" s="260"/>
      <c r="D260" s="98" t="s">
        <v>99</v>
      </c>
      <c r="E260" s="118" t="e">
        <f>18916.5/K1</f>
        <v>#DIV/0!</v>
      </c>
      <c r="F260" s="81">
        <v>2437.5</v>
      </c>
      <c r="G260" s="81">
        <v>1000</v>
      </c>
      <c r="H260" s="81">
        <v>0</v>
      </c>
      <c r="I260" s="81"/>
    </row>
    <row r="261" spans="1:9" hidden="1" x14ac:dyDescent="0.25">
      <c r="A261" s="258" t="s">
        <v>168</v>
      </c>
      <c r="B261" s="259"/>
      <c r="C261" s="260"/>
      <c r="D261" s="98" t="s">
        <v>100</v>
      </c>
      <c r="E261" s="118">
        <v>0</v>
      </c>
      <c r="F261" s="81">
        <v>0</v>
      </c>
      <c r="G261" s="81">
        <v>300</v>
      </c>
      <c r="H261" s="81">
        <v>64.38</v>
      </c>
      <c r="I261" s="81"/>
    </row>
    <row r="262" spans="1:9" ht="20.25" hidden="1" customHeight="1" x14ac:dyDescent="0.25">
      <c r="A262" s="258" t="s">
        <v>169</v>
      </c>
      <c r="B262" s="259"/>
      <c r="C262" s="260"/>
      <c r="D262" s="98" t="s">
        <v>101</v>
      </c>
      <c r="E262" s="118" t="e">
        <f>14054.19/K1</f>
        <v>#DIV/0!</v>
      </c>
      <c r="F262" s="62">
        <v>1120.31</v>
      </c>
      <c r="G262" s="62">
        <v>500</v>
      </c>
      <c r="H262" s="62">
        <v>0</v>
      </c>
      <c r="I262" s="81"/>
    </row>
    <row r="263" spans="1:9" x14ac:dyDescent="0.25">
      <c r="A263" s="255" t="s">
        <v>366</v>
      </c>
      <c r="B263" s="256"/>
      <c r="C263" s="257"/>
      <c r="D263" s="198" t="s">
        <v>236</v>
      </c>
      <c r="E263" s="199" t="e">
        <f>SUM(E265:E316)</f>
        <v>#DIV/0!</v>
      </c>
      <c r="F263" s="199">
        <f t="shared" ref="F263:H263" si="225">F264</f>
        <v>37.75</v>
      </c>
      <c r="G263" s="199">
        <f>G264</f>
        <v>100</v>
      </c>
      <c r="H263" s="199">
        <f t="shared" si="225"/>
        <v>10.31</v>
      </c>
      <c r="I263" s="199">
        <f t="shared" ref="I263" si="226">H263/G263*100</f>
        <v>10.31</v>
      </c>
    </row>
    <row r="264" spans="1:9" hidden="1" x14ac:dyDescent="0.25">
      <c r="A264" s="258" t="s">
        <v>170</v>
      </c>
      <c r="B264" s="259"/>
      <c r="C264" s="260"/>
      <c r="D264" s="98" t="s">
        <v>102</v>
      </c>
      <c r="E264" s="118" t="e">
        <f>509.86/K1</f>
        <v>#DIV/0!</v>
      </c>
      <c r="F264" s="81">
        <v>37.75</v>
      </c>
      <c r="G264" s="81">
        <v>100</v>
      </c>
      <c r="H264" s="81">
        <v>10.31</v>
      </c>
      <c r="I264" s="81"/>
    </row>
    <row r="265" spans="1:9" ht="15" customHeight="1" x14ac:dyDescent="0.25">
      <c r="A265" s="270" t="s">
        <v>133</v>
      </c>
      <c r="B265" s="271"/>
      <c r="C265" s="272"/>
      <c r="D265" s="84" t="s">
        <v>134</v>
      </c>
      <c r="E265" s="115" t="e">
        <f>E266+E279</f>
        <v>#DIV/0!</v>
      </c>
      <c r="F265" s="73">
        <f>F266+F279</f>
        <v>15238.75</v>
      </c>
      <c r="G265" s="73">
        <f>G266+G279</f>
        <v>19410</v>
      </c>
      <c r="H265" s="73">
        <f>H266+H279</f>
        <v>11094.5</v>
      </c>
      <c r="I265" s="73">
        <f t="shared" ref="I265:I270" si="227">H265/G265*100</f>
        <v>57.16</v>
      </c>
    </row>
    <row r="266" spans="1:9" x14ac:dyDescent="0.25">
      <c r="A266" s="261">
        <v>3</v>
      </c>
      <c r="B266" s="262"/>
      <c r="C266" s="263"/>
      <c r="D266" s="93" t="s">
        <v>19</v>
      </c>
      <c r="E266" s="116" t="e">
        <f>E267</f>
        <v>#DIV/0!</v>
      </c>
      <c r="F266" s="74">
        <f>F267+F276</f>
        <v>15238.75</v>
      </c>
      <c r="G266" s="74">
        <f t="shared" ref="G266:H266" si="228">G267</f>
        <v>19400</v>
      </c>
      <c r="H266" s="74">
        <f t="shared" si="228"/>
        <v>11094.5</v>
      </c>
      <c r="I266" s="74">
        <f t="shared" si="227"/>
        <v>57.19</v>
      </c>
    </row>
    <row r="267" spans="1:9" x14ac:dyDescent="0.25">
      <c r="A267" s="252">
        <v>32</v>
      </c>
      <c r="B267" s="253"/>
      <c r="C267" s="254"/>
      <c r="D267" s="97" t="s">
        <v>32</v>
      </c>
      <c r="E267" s="117" t="e">
        <f>SUM(E271:E275)</f>
        <v>#DIV/0!</v>
      </c>
      <c r="F267" s="75">
        <f>F270+F273+F268</f>
        <v>14858.75</v>
      </c>
      <c r="G267" s="75">
        <f t="shared" ref="G267:H267" si="229">G270+G273</f>
        <v>19400</v>
      </c>
      <c r="H267" s="75">
        <f t="shared" si="229"/>
        <v>11094.5</v>
      </c>
      <c r="I267" s="75">
        <f t="shared" si="227"/>
        <v>57.19</v>
      </c>
    </row>
    <row r="268" spans="1:9" x14ac:dyDescent="0.25">
      <c r="A268" s="255" t="s">
        <v>311</v>
      </c>
      <c r="B268" s="256"/>
      <c r="C268" s="257"/>
      <c r="D268" s="198" t="s">
        <v>396</v>
      </c>
      <c r="E268" s="199">
        <f>E269</f>
        <v>0</v>
      </c>
      <c r="F268" s="199">
        <f>F269</f>
        <v>23.53</v>
      </c>
      <c r="G268" s="199">
        <f t="shared" ref="G268" si="230">G269</f>
        <v>0</v>
      </c>
      <c r="H268" s="199">
        <f t="shared" ref="H268" si="231">G268/F268*100</f>
        <v>0</v>
      </c>
      <c r="I268"/>
    </row>
    <row r="269" spans="1:9" x14ac:dyDescent="0.25">
      <c r="A269" s="249" t="s">
        <v>177</v>
      </c>
      <c r="B269" s="250">
        <v>3231</v>
      </c>
      <c r="C269" s="251">
        <v>3231</v>
      </c>
      <c r="D269" s="216" t="s">
        <v>429</v>
      </c>
      <c r="E269" s="217">
        <v>0</v>
      </c>
      <c r="F269" s="218">
        <v>23.53</v>
      </c>
      <c r="G269" s="218">
        <v>0</v>
      </c>
      <c r="H269" s="81">
        <v>0</v>
      </c>
      <c r="I269"/>
    </row>
    <row r="270" spans="1:9" x14ac:dyDescent="0.25">
      <c r="A270" s="255" t="s">
        <v>320</v>
      </c>
      <c r="B270" s="256"/>
      <c r="C270" s="257"/>
      <c r="D270" s="198" t="s">
        <v>389</v>
      </c>
      <c r="E270" s="199" t="e">
        <f>SUM(E272:E323)</f>
        <v>#DIV/0!</v>
      </c>
      <c r="F270" s="199">
        <f t="shared" ref="F270" si="232">SUM(F271:F272)</f>
        <v>11822</v>
      </c>
      <c r="G270" s="199">
        <f t="shared" ref="G270:H270" si="233">SUM(G271:G272)</f>
        <v>16000</v>
      </c>
      <c r="H270" s="199">
        <f t="shared" si="233"/>
        <v>9851.5</v>
      </c>
      <c r="I270" s="199">
        <f t="shared" si="227"/>
        <v>61.57</v>
      </c>
    </row>
    <row r="271" spans="1:9" hidden="1" x14ac:dyDescent="0.25">
      <c r="A271" s="258">
        <v>3231</v>
      </c>
      <c r="B271" s="259">
        <v>3231</v>
      </c>
      <c r="C271" s="260">
        <v>3231</v>
      </c>
      <c r="D271" s="95" t="s">
        <v>58</v>
      </c>
      <c r="E271" s="118" t="e">
        <f>80585/K1</f>
        <v>#DIV/0!</v>
      </c>
      <c r="F271" s="81">
        <v>11822</v>
      </c>
      <c r="G271" s="81">
        <v>15000</v>
      </c>
      <c r="H271" s="81">
        <v>9851.5</v>
      </c>
      <c r="I271" s="81"/>
    </row>
    <row r="272" spans="1:9" ht="26.25" hidden="1" x14ac:dyDescent="0.25">
      <c r="A272" s="258" t="s">
        <v>165</v>
      </c>
      <c r="B272" s="259">
        <v>3233</v>
      </c>
      <c r="C272" s="260">
        <v>3233</v>
      </c>
      <c r="D272" s="98" t="s">
        <v>90</v>
      </c>
      <c r="E272" s="118">
        <v>0</v>
      </c>
      <c r="F272" s="81">
        <v>0</v>
      </c>
      <c r="G272" s="81">
        <v>1000</v>
      </c>
      <c r="H272" s="81">
        <v>0</v>
      </c>
      <c r="I272" s="81"/>
    </row>
    <row r="273" spans="1:9" x14ac:dyDescent="0.25">
      <c r="A273" s="255" t="s">
        <v>336</v>
      </c>
      <c r="B273" s="256"/>
      <c r="C273" s="257"/>
      <c r="D273" s="198" t="s">
        <v>95</v>
      </c>
      <c r="E273" s="199" t="e">
        <f>SUM(E275:E327)</f>
        <v>#DIV/0!</v>
      </c>
      <c r="F273" s="199">
        <f>SUM(F274:F275)</f>
        <v>3013.22</v>
      </c>
      <c r="G273" s="199">
        <f t="shared" ref="G273" si="234">SUM(G274:G275)</f>
        <v>3400</v>
      </c>
      <c r="H273" s="199">
        <f t="shared" ref="H273" si="235">SUM(H274:H275)</f>
        <v>1243</v>
      </c>
      <c r="I273" s="199">
        <f t="shared" ref="I273" si="236">H273/G273*100</f>
        <v>36.56</v>
      </c>
    </row>
    <row r="274" spans="1:9" hidden="1" x14ac:dyDescent="0.25">
      <c r="A274" s="258" t="s">
        <v>171</v>
      </c>
      <c r="B274" s="259">
        <v>3295</v>
      </c>
      <c r="C274" s="260">
        <v>3295</v>
      </c>
      <c r="D274" s="98" t="s">
        <v>91</v>
      </c>
      <c r="E274" s="118" t="e">
        <f>13650/K1</f>
        <v>#DIV/0!</v>
      </c>
      <c r="F274" s="81">
        <v>1688</v>
      </c>
      <c r="G274" s="81">
        <v>1900</v>
      </c>
      <c r="H274" s="81">
        <v>0</v>
      </c>
      <c r="I274" s="81"/>
    </row>
    <row r="275" spans="1:9" hidden="1" x14ac:dyDescent="0.25">
      <c r="A275" s="258">
        <v>3299</v>
      </c>
      <c r="B275" s="259">
        <v>3299</v>
      </c>
      <c r="C275" s="260">
        <v>3299</v>
      </c>
      <c r="D275" s="95" t="s">
        <v>69</v>
      </c>
      <c r="E275" s="118" t="e">
        <f>18024.27/K1</f>
        <v>#DIV/0!</v>
      </c>
      <c r="F275" s="81">
        <v>1325.22</v>
      </c>
      <c r="G275" s="81">
        <v>1500</v>
      </c>
      <c r="H275" s="81">
        <v>1243</v>
      </c>
      <c r="I275" s="81"/>
    </row>
    <row r="276" spans="1:9" x14ac:dyDescent="0.25">
      <c r="A276" s="252">
        <v>38</v>
      </c>
      <c r="B276" s="253"/>
      <c r="C276" s="254"/>
      <c r="D276" s="97" t="s">
        <v>96</v>
      </c>
      <c r="E276" s="75">
        <f t="shared" ref="E276:F276" si="237">SUM(E278)</f>
        <v>276</v>
      </c>
      <c r="F276" s="75">
        <f t="shared" si="237"/>
        <v>380</v>
      </c>
      <c r="G276" s="75">
        <f>SUM(G278)</f>
        <v>0</v>
      </c>
      <c r="H276" s="75">
        <f t="shared" ref="H276:H277" si="238">G276/F276*100</f>
        <v>0</v>
      </c>
      <c r="I276"/>
    </row>
    <row r="277" spans="1:9" x14ac:dyDescent="0.25">
      <c r="A277" s="255" t="s">
        <v>397</v>
      </c>
      <c r="B277" s="256"/>
      <c r="C277" s="257"/>
      <c r="D277" s="198" t="s">
        <v>96</v>
      </c>
      <c r="E277" s="199">
        <f>E278</f>
        <v>276</v>
      </c>
      <c r="F277" s="199">
        <f t="shared" ref="F277:G277" si="239">F278</f>
        <v>380</v>
      </c>
      <c r="G277" s="199">
        <f t="shared" si="239"/>
        <v>0</v>
      </c>
      <c r="H277" s="199">
        <f t="shared" si="238"/>
        <v>0</v>
      </c>
      <c r="I277"/>
    </row>
    <row r="278" spans="1:9" hidden="1" x14ac:dyDescent="0.25">
      <c r="A278" s="249" t="s">
        <v>238</v>
      </c>
      <c r="B278" s="250">
        <v>3231</v>
      </c>
      <c r="C278" s="251">
        <v>3231</v>
      </c>
      <c r="D278" s="216" t="s">
        <v>430</v>
      </c>
      <c r="E278" s="217">
        <v>276</v>
      </c>
      <c r="F278" s="218">
        <v>380</v>
      </c>
      <c r="G278" s="218">
        <v>0</v>
      </c>
      <c r="H278" s="81"/>
      <c r="I278"/>
    </row>
    <row r="279" spans="1:9" ht="25.5" x14ac:dyDescent="0.25">
      <c r="A279" s="261">
        <v>4</v>
      </c>
      <c r="B279" s="262"/>
      <c r="C279" s="263"/>
      <c r="D279" s="93" t="s">
        <v>21</v>
      </c>
      <c r="E279" s="116" t="e">
        <f>E280</f>
        <v>#DIV/0!</v>
      </c>
      <c r="F279" s="74">
        <f t="shared" ref="F279:H279" si="240">F280</f>
        <v>0</v>
      </c>
      <c r="G279" s="74">
        <f t="shared" si="240"/>
        <v>10</v>
      </c>
      <c r="H279" s="74">
        <f t="shared" si="240"/>
        <v>0</v>
      </c>
      <c r="I279" s="74">
        <f t="shared" ref="I279:I281" si="241">H279/G279*100</f>
        <v>0</v>
      </c>
    </row>
    <row r="280" spans="1:9" ht="25.5" x14ac:dyDescent="0.25">
      <c r="A280" s="252">
        <v>42</v>
      </c>
      <c r="B280" s="253"/>
      <c r="C280" s="254"/>
      <c r="D280" s="97" t="s">
        <v>98</v>
      </c>
      <c r="E280" s="117" t="e">
        <f>SUM(E282:E282)</f>
        <v>#DIV/0!</v>
      </c>
      <c r="F280" s="75">
        <f t="shared" ref="F280" si="242">SUM(F282:F282)</f>
        <v>0</v>
      </c>
      <c r="G280" s="75">
        <f t="shared" ref="G280:H280" si="243">SUM(G282:G282)</f>
        <v>10</v>
      </c>
      <c r="H280" s="75">
        <f t="shared" si="243"/>
        <v>0</v>
      </c>
      <c r="I280" s="75">
        <f t="shared" si="241"/>
        <v>0</v>
      </c>
    </row>
    <row r="281" spans="1:9" x14ac:dyDescent="0.25">
      <c r="A281" s="255" t="s">
        <v>366</v>
      </c>
      <c r="B281" s="256"/>
      <c r="C281" s="257"/>
      <c r="D281" s="198" t="s">
        <v>236</v>
      </c>
      <c r="E281" s="199" t="e">
        <f>SUM(E283:E386)</f>
        <v>#DIV/0!</v>
      </c>
      <c r="F281" s="199">
        <f t="shared" ref="F281:H281" si="244">F282</f>
        <v>0</v>
      </c>
      <c r="G281" s="199">
        <f t="shared" ref="G281" si="245">G282</f>
        <v>10</v>
      </c>
      <c r="H281" s="199">
        <f t="shared" si="244"/>
        <v>0</v>
      </c>
      <c r="I281" s="199">
        <f t="shared" si="241"/>
        <v>0</v>
      </c>
    </row>
    <row r="282" spans="1:9" hidden="1" x14ac:dyDescent="0.25">
      <c r="A282" s="258" t="s">
        <v>170</v>
      </c>
      <c r="B282" s="259"/>
      <c r="C282" s="260"/>
      <c r="D282" s="98" t="s">
        <v>102</v>
      </c>
      <c r="E282" s="118" t="e">
        <f>107.41/K1</f>
        <v>#DIV/0!</v>
      </c>
      <c r="F282" s="81">
        <v>0</v>
      </c>
      <c r="G282" s="81">
        <v>10</v>
      </c>
      <c r="H282" s="81">
        <v>0</v>
      </c>
      <c r="I282" s="89"/>
    </row>
    <row r="283" spans="1:9" ht="15" customHeight="1" x14ac:dyDescent="0.25">
      <c r="A283" s="270" t="s">
        <v>135</v>
      </c>
      <c r="B283" s="271"/>
      <c r="C283" s="272"/>
      <c r="D283" s="84" t="s">
        <v>136</v>
      </c>
      <c r="E283" s="115" t="e">
        <f>E284+E313</f>
        <v>#DIV/0!</v>
      </c>
      <c r="F283" s="73">
        <f>F284+F313</f>
        <v>8292.9</v>
      </c>
      <c r="G283" s="73">
        <f>G284+G313</f>
        <v>17560</v>
      </c>
      <c r="H283" s="73">
        <f>H284+H313</f>
        <v>15400.8</v>
      </c>
      <c r="I283" s="73">
        <f t="shared" ref="I283:I286" si="246">H283/G283*100</f>
        <v>87.7</v>
      </c>
    </row>
    <row r="284" spans="1:9" x14ac:dyDescent="0.25">
      <c r="A284" s="261">
        <v>3</v>
      </c>
      <c r="B284" s="262"/>
      <c r="C284" s="263"/>
      <c r="D284" s="93" t="s">
        <v>19</v>
      </c>
      <c r="E284" s="116" t="e">
        <f>E285+E310</f>
        <v>#DIV/0!</v>
      </c>
      <c r="F284" s="74">
        <f t="shared" ref="F284" si="247">F285+F310</f>
        <v>6920.3</v>
      </c>
      <c r="G284" s="74">
        <f>G285+G310</f>
        <v>15510</v>
      </c>
      <c r="H284" s="74">
        <f>H285+H310</f>
        <v>12772.19</v>
      </c>
      <c r="I284" s="74">
        <f t="shared" si="246"/>
        <v>82.35</v>
      </c>
    </row>
    <row r="285" spans="1:9" x14ac:dyDescent="0.25">
      <c r="A285" s="252">
        <v>32</v>
      </c>
      <c r="B285" s="253"/>
      <c r="C285" s="254"/>
      <c r="D285" s="97" t="s">
        <v>32</v>
      </c>
      <c r="E285" s="117" t="e">
        <f>SUM(E287:E309)</f>
        <v>#DIV/0!</v>
      </c>
      <c r="F285" s="75">
        <f>F286+F290+F295+F304</f>
        <v>6920.3</v>
      </c>
      <c r="G285" s="75">
        <f>G286+G290+G295+G304</f>
        <v>15500</v>
      </c>
      <c r="H285" s="75">
        <f>H286+H290+H295+H304</f>
        <v>12772.19</v>
      </c>
      <c r="I285" s="75">
        <f t="shared" si="246"/>
        <v>82.4</v>
      </c>
    </row>
    <row r="286" spans="1:9" x14ac:dyDescent="0.25">
      <c r="A286" s="255" t="s">
        <v>305</v>
      </c>
      <c r="B286" s="256"/>
      <c r="C286" s="257"/>
      <c r="D286" s="198" t="s">
        <v>393</v>
      </c>
      <c r="E286" s="199" t="e">
        <f>SUM(E288:E382)</f>
        <v>#DIV/0!</v>
      </c>
      <c r="F286" s="199">
        <f t="shared" ref="F286:H286" si="248">SUM(F287:F289)</f>
        <v>376.73</v>
      </c>
      <c r="G286" s="199">
        <f>SUM(G287:G289)</f>
        <v>2150</v>
      </c>
      <c r="H286" s="199">
        <f t="shared" si="248"/>
        <v>1545.62</v>
      </c>
      <c r="I286" s="199">
        <f t="shared" si="246"/>
        <v>71.89</v>
      </c>
    </row>
    <row r="287" spans="1:9" hidden="1" x14ac:dyDescent="0.25">
      <c r="A287" s="258">
        <v>3211</v>
      </c>
      <c r="B287" s="259"/>
      <c r="C287" s="260"/>
      <c r="D287" s="95" t="s">
        <v>52</v>
      </c>
      <c r="E287" s="118" t="e">
        <f>4116.28/K1</f>
        <v>#DIV/0!</v>
      </c>
      <c r="F287" s="81">
        <v>376.73</v>
      </c>
      <c r="G287" s="81">
        <v>2000</v>
      </c>
      <c r="H287" s="81">
        <f>1474.14+71.48</f>
        <v>1545.62</v>
      </c>
      <c r="I287" s="81"/>
    </row>
    <row r="288" spans="1:9" hidden="1" x14ac:dyDescent="0.25">
      <c r="A288" s="258">
        <v>3213</v>
      </c>
      <c r="B288" s="259">
        <v>3213</v>
      </c>
      <c r="C288" s="260">
        <v>3213</v>
      </c>
      <c r="D288" s="95" t="s">
        <v>53</v>
      </c>
      <c r="E288" s="118" t="e">
        <f>449/K1</f>
        <v>#DIV/0!</v>
      </c>
      <c r="F288" s="81">
        <v>0</v>
      </c>
      <c r="G288" s="81">
        <v>100</v>
      </c>
      <c r="H288" s="81">
        <v>0</v>
      </c>
      <c r="I288" s="81"/>
    </row>
    <row r="289" spans="1:9" hidden="1" x14ac:dyDescent="0.25">
      <c r="A289" s="258" t="s">
        <v>182</v>
      </c>
      <c r="B289" s="259">
        <v>3213</v>
      </c>
      <c r="C289" s="260">
        <v>3213</v>
      </c>
      <c r="D289" s="95" t="s">
        <v>183</v>
      </c>
      <c r="E289" s="118">
        <v>0</v>
      </c>
      <c r="F289" s="81">
        <v>0</v>
      </c>
      <c r="G289" s="81">
        <v>50</v>
      </c>
      <c r="H289" s="81">
        <v>0</v>
      </c>
      <c r="I289" s="81"/>
    </row>
    <row r="290" spans="1:9" x14ac:dyDescent="0.25">
      <c r="A290" s="255">
        <v>322</v>
      </c>
      <c r="B290" s="256"/>
      <c r="C290" s="257"/>
      <c r="D290" s="198" t="s">
        <v>396</v>
      </c>
      <c r="E290" s="199" t="e">
        <f>SUM(E294:E335)</f>
        <v>#DIV/0!</v>
      </c>
      <c r="F290" s="199">
        <f t="shared" ref="F290" si="249">SUM(F291:F294)</f>
        <v>183.11</v>
      </c>
      <c r="G290" s="199">
        <f>SUM(G291:G294)</f>
        <v>2600</v>
      </c>
      <c r="H290" s="199">
        <f t="shared" ref="H290" si="250">SUM(H291:H294)</f>
        <v>877.66</v>
      </c>
      <c r="I290" s="199">
        <f t="shared" ref="I290" si="251">H290/G290*100</f>
        <v>33.76</v>
      </c>
    </row>
    <row r="291" spans="1:9" hidden="1" x14ac:dyDescent="0.25">
      <c r="A291" s="258">
        <v>3221</v>
      </c>
      <c r="B291" s="259">
        <v>3221</v>
      </c>
      <c r="C291" s="260">
        <v>3221</v>
      </c>
      <c r="D291" s="95" t="s">
        <v>54</v>
      </c>
      <c r="E291" s="118" t="e">
        <f>1199/K1</f>
        <v>#DIV/0!</v>
      </c>
      <c r="F291" s="81">
        <v>183.11</v>
      </c>
      <c r="G291" s="81">
        <v>1400</v>
      </c>
      <c r="H291" s="81">
        <v>134.6</v>
      </c>
      <c r="I291" s="81"/>
    </row>
    <row r="292" spans="1:9" hidden="1" x14ac:dyDescent="0.25">
      <c r="A292" s="258">
        <v>3223</v>
      </c>
      <c r="B292" s="259">
        <v>3223</v>
      </c>
      <c r="C292" s="260">
        <v>3223</v>
      </c>
      <c r="D292" s="95" t="s">
        <v>55</v>
      </c>
      <c r="E292" s="118">
        <v>0</v>
      </c>
      <c r="F292" s="81">
        <v>0</v>
      </c>
      <c r="G292" s="81">
        <v>100</v>
      </c>
      <c r="H292" s="81">
        <v>0</v>
      </c>
      <c r="I292" s="81"/>
    </row>
    <row r="293" spans="1:9" hidden="1" x14ac:dyDescent="0.25">
      <c r="A293" s="258">
        <v>3225</v>
      </c>
      <c r="B293" s="259">
        <v>3225</v>
      </c>
      <c r="C293" s="260">
        <v>3225</v>
      </c>
      <c r="D293" s="95" t="s">
        <v>56</v>
      </c>
      <c r="E293" s="118" t="e">
        <f>4494.96/K1</f>
        <v>#DIV/0!</v>
      </c>
      <c r="F293" s="81">
        <v>0</v>
      </c>
      <c r="G293" s="81">
        <v>1000</v>
      </c>
      <c r="H293" s="81">
        <v>743.06</v>
      </c>
      <c r="I293" s="81"/>
    </row>
    <row r="294" spans="1:9" hidden="1" x14ac:dyDescent="0.25">
      <c r="A294" s="258">
        <v>3227</v>
      </c>
      <c r="B294" s="259">
        <v>3227</v>
      </c>
      <c r="C294" s="260">
        <v>3227</v>
      </c>
      <c r="D294" s="95" t="s">
        <v>57</v>
      </c>
      <c r="E294" s="118">
        <v>0</v>
      </c>
      <c r="F294" s="81">
        <v>0</v>
      </c>
      <c r="G294" s="81">
        <v>100</v>
      </c>
      <c r="H294" s="81">
        <v>0</v>
      </c>
      <c r="I294" s="81"/>
    </row>
    <row r="295" spans="1:9" x14ac:dyDescent="0.25">
      <c r="A295" s="255" t="s">
        <v>320</v>
      </c>
      <c r="B295" s="256"/>
      <c r="C295" s="257"/>
      <c r="D295" s="198" t="s">
        <v>389</v>
      </c>
      <c r="E295" s="199" t="e">
        <f>SUM(E297:E349)</f>
        <v>#DIV/0!</v>
      </c>
      <c r="F295" s="199">
        <f t="shared" ref="F295" si="252">SUM(F296:F303)</f>
        <v>2108.52</v>
      </c>
      <c r="G295" s="199">
        <f>SUM(G296:G303)</f>
        <v>5400</v>
      </c>
      <c r="H295" s="199">
        <f t="shared" ref="H295" si="253">SUM(H296:H303)</f>
        <v>5568.94</v>
      </c>
      <c r="I295" s="199">
        <f t="shared" ref="I295" si="254">H295/G295*100</f>
        <v>103.13</v>
      </c>
    </row>
    <row r="296" spans="1:9" hidden="1" x14ac:dyDescent="0.25">
      <c r="A296" s="258">
        <v>3231</v>
      </c>
      <c r="B296" s="259">
        <v>3231</v>
      </c>
      <c r="C296" s="260">
        <v>3231</v>
      </c>
      <c r="D296" s="95" t="s">
        <v>58</v>
      </c>
      <c r="E296" s="118" t="e">
        <f>7492.5/K1</f>
        <v>#DIV/0!</v>
      </c>
      <c r="F296" s="81">
        <v>788.91</v>
      </c>
      <c r="G296" s="81">
        <v>1500</v>
      </c>
      <c r="H296" s="81">
        <f>500+600</f>
        <v>1100</v>
      </c>
      <c r="I296" s="81"/>
    </row>
    <row r="297" spans="1:9" hidden="1" x14ac:dyDescent="0.25">
      <c r="A297" s="258" t="s">
        <v>165</v>
      </c>
      <c r="B297" s="259">
        <v>3233</v>
      </c>
      <c r="C297" s="260">
        <v>3233</v>
      </c>
      <c r="D297" s="95" t="s">
        <v>73</v>
      </c>
      <c r="E297" s="118" t="e">
        <f>16729.5/K1</f>
        <v>#DIV/0!</v>
      </c>
      <c r="F297" s="81">
        <v>975</v>
      </c>
      <c r="G297" s="81">
        <v>200</v>
      </c>
      <c r="H297" s="81">
        <v>0</v>
      </c>
      <c r="I297" s="81"/>
    </row>
    <row r="298" spans="1:9" hidden="1" x14ac:dyDescent="0.25">
      <c r="A298" s="258">
        <v>3234</v>
      </c>
      <c r="B298" s="259">
        <v>3234</v>
      </c>
      <c r="C298" s="260">
        <v>3234</v>
      </c>
      <c r="D298" s="95" t="s">
        <v>60</v>
      </c>
      <c r="E298" s="118">
        <v>0</v>
      </c>
      <c r="F298" s="81">
        <v>0</v>
      </c>
      <c r="G298" s="81">
        <v>0</v>
      </c>
      <c r="H298" s="81">
        <v>0</v>
      </c>
      <c r="I298" s="81"/>
    </row>
    <row r="299" spans="1:9" hidden="1" x14ac:dyDescent="0.25">
      <c r="A299" s="258">
        <v>3235</v>
      </c>
      <c r="B299" s="259">
        <v>3235</v>
      </c>
      <c r="C299" s="260">
        <v>3235</v>
      </c>
      <c r="D299" s="95" t="s">
        <v>61</v>
      </c>
      <c r="E299" s="118">
        <v>0</v>
      </c>
      <c r="F299" s="81">
        <v>195.31</v>
      </c>
      <c r="G299" s="81">
        <v>2000</v>
      </c>
      <c r="H299" s="81">
        <v>3272.94</v>
      </c>
      <c r="I299" s="81"/>
    </row>
    <row r="300" spans="1:9" hidden="1" x14ac:dyDescent="0.25">
      <c r="A300" s="258">
        <v>3236</v>
      </c>
      <c r="B300" s="259">
        <v>3236</v>
      </c>
      <c r="C300" s="260">
        <v>3236</v>
      </c>
      <c r="D300" s="95" t="s">
        <v>62</v>
      </c>
      <c r="E300" s="118">
        <v>0</v>
      </c>
      <c r="F300" s="81">
        <v>0</v>
      </c>
      <c r="G300" s="81">
        <v>100</v>
      </c>
      <c r="H300" s="81">
        <v>0</v>
      </c>
      <c r="I300" s="81"/>
    </row>
    <row r="301" spans="1:9" hidden="1" x14ac:dyDescent="0.25">
      <c r="A301" s="258">
        <v>3237</v>
      </c>
      <c r="B301" s="259">
        <v>3237</v>
      </c>
      <c r="C301" s="260">
        <v>3237</v>
      </c>
      <c r="D301" s="95" t="s">
        <v>63</v>
      </c>
      <c r="E301" s="118">
        <v>0</v>
      </c>
      <c r="F301" s="81">
        <v>149.30000000000001</v>
      </c>
      <c r="G301" s="81">
        <v>0</v>
      </c>
      <c r="H301" s="81">
        <v>0</v>
      </c>
      <c r="I301" s="81"/>
    </row>
    <row r="302" spans="1:9" hidden="1" x14ac:dyDescent="0.25">
      <c r="A302" s="258">
        <v>3238</v>
      </c>
      <c r="B302" s="259">
        <v>3238</v>
      </c>
      <c r="C302" s="260">
        <v>3238</v>
      </c>
      <c r="D302" s="95" t="s">
        <v>64</v>
      </c>
      <c r="E302" s="118">
        <v>0</v>
      </c>
      <c r="F302" s="81">
        <v>0</v>
      </c>
      <c r="G302" s="81">
        <v>100</v>
      </c>
      <c r="H302" s="81">
        <v>0</v>
      </c>
      <c r="I302" s="81"/>
    </row>
    <row r="303" spans="1:9" hidden="1" x14ac:dyDescent="0.25">
      <c r="A303" s="258">
        <v>3239</v>
      </c>
      <c r="B303" s="259">
        <v>3239</v>
      </c>
      <c r="C303" s="260">
        <v>3239</v>
      </c>
      <c r="D303" s="95" t="s">
        <v>65</v>
      </c>
      <c r="E303" s="118">
        <v>0</v>
      </c>
      <c r="F303" s="81">
        <v>0</v>
      </c>
      <c r="G303" s="81">
        <v>1500</v>
      </c>
      <c r="H303" s="81">
        <v>1196</v>
      </c>
      <c r="I303" s="81"/>
    </row>
    <row r="304" spans="1:9" x14ac:dyDescent="0.25">
      <c r="A304" s="255" t="s">
        <v>336</v>
      </c>
      <c r="B304" s="256"/>
      <c r="C304" s="257"/>
      <c r="D304" s="198" t="s">
        <v>95</v>
      </c>
      <c r="E304" s="199" t="e">
        <f>SUM(E307:E380)</f>
        <v>#DIV/0!</v>
      </c>
      <c r="F304" s="199">
        <f>SUM(F305:F309)</f>
        <v>4251.9399999999996</v>
      </c>
      <c r="G304" s="199">
        <f>SUM(G306:G309)</f>
        <v>5350</v>
      </c>
      <c r="H304" s="199">
        <f t="shared" ref="H304" si="255">SUM(H306:H309)</f>
        <v>4779.97</v>
      </c>
      <c r="I304" s="199">
        <f t="shared" ref="I304" si="256">H304/G304*100</f>
        <v>89.35</v>
      </c>
    </row>
    <row r="305" spans="1:9" hidden="1" x14ac:dyDescent="0.25">
      <c r="A305" s="258" t="s">
        <v>171</v>
      </c>
      <c r="B305" s="259">
        <v>3293</v>
      </c>
      <c r="C305" s="260">
        <v>3293</v>
      </c>
      <c r="D305" s="95" t="s">
        <v>91</v>
      </c>
      <c r="E305" s="219"/>
      <c r="F305" s="81">
        <v>52</v>
      </c>
      <c r="G305" s="199"/>
      <c r="H305" s="199"/>
      <c r="I305" s="199"/>
    </row>
    <row r="306" spans="1:9" hidden="1" x14ac:dyDescent="0.25">
      <c r="A306" s="258">
        <v>3293</v>
      </c>
      <c r="B306" s="259">
        <v>3293</v>
      </c>
      <c r="C306" s="260">
        <v>3293</v>
      </c>
      <c r="D306" s="95" t="s">
        <v>66</v>
      </c>
      <c r="E306" s="118" t="e">
        <f>292.5/K1</f>
        <v>#DIV/0!</v>
      </c>
      <c r="F306" s="81">
        <v>10.5</v>
      </c>
      <c r="G306" s="81">
        <v>150</v>
      </c>
      <c r="H306" s="81">
        <v>0</v>
      </c>
      <c r="I306" s="81"/>
    </row>
    <row r="307" spans="1:9" hidden="1" x14ac:dyDescent="0.25">
      <c r="A307" s="258">
        <v>3294</v>
      </c>
      <c r="B307" s="259">
        <v>3294</v>
      </c>
      <c r="C307" s="260">
        <v>3294</v>
      </c>
      <c r="D307" s="95" t="s">
        <v>67</v>
      </c>
      <c r="E307" s="118">
        <v>0</v>
      </c>
      <c r="F307" s="81">
        <v>0</v>
      </c>
      <c r="G307" s="81">
        <v>0</v>
      </c>
      <c r="H307" s="81">
        <v>0</v>
      </c>
      <c r="I307" s="81"/>
    </row>
    <row r="308" spans="1:9" hidden="1" x14ac:dyDescent="0.25">
      <c r="A308" s="258">
        <v>3295</v>
      </c>
      <c r="B308" s="259">
        <v>3295</v>
      </c>
      <c r="C308" s="260">
        <v>3295</v>
      </c>
      <c r="D308" s="95" t="s">
        <v>68</v>
      </c>
      <c r="E308" s="118">
        <v>0</v>
      </c>
      <c r="F308" s="86">
        <v>0</v>
      </c>
      <c r="G308" s="81">
        <v>0</v>
      </c>
      <c r="H308" s="81">
        <v>0</v>
      </c>
      <c r="I308" s="81"/>
    </row>
    <row r="309" spans="1:9" hidden="1" x14ac:dyDescent="0.25">
      <c r="A309" s="258">
        <v>3299</v>
      </c>
      <c r="B309" s="259">
        <v>3299</v>
      </c>
      <c r="C309" s="260">
        <v>3299</v>
      </c>
      <c r="D309" s="95" t="s">
        <v>69</v>
      </c>
      <c r="E309" s="118" t="e">
        <f>676.72/K1</f>
        <v>#DIV/0!</v>
      </c>
      <c r="F309" s="86">
        <v>4189.4399999999996</v>
      </c>
      <c r="G309" s="81">
        <v>5200</v>
      </c>
      <c r="H309" s="81">
        <v>4779.97</v>
      </c>
      <c r="I309" s="81"/>
    </row>
    <row r="310" spans="1:9" x14ac:dyDescent="0.25">
      <c r="A310" s="252">
        <v>34</v>
      </c>
      <c r="B310" s="253"/>
      <c r="C310" s="254"/>
      <c r="D310" s="97" t="s">
        <v>92</v>
      </c>
      <c r="E310" s="117">
        <f>E312</f>
        <v>0</v>
      </c>
      <c r="F310" s="75">
        <f t="shared" ref="F310" si="257">F312</f>
        <v>0</v>
      </c>
      <c r="G310" s="75">
        <f t="shared" ref="G310:H310" si="258">G312</f>
        <v>10</v>
      </c>
      <c r="H310" s="75">
        <f t="shared" si="258"/>
        <v>0</v>
      </c>
      <c r="I310" s="75">
        <f t="shared" ref="I310:I311" si="259">H310/G310*100</f>
        <v>0</v>
      </c>
    </row>
    <row r="311" spans="1:9" x14ac:dyDescent="0.25">
      <c r="A311" s="255" t="s">
        <v>345</v>
      </c>
      <c r="B311" s="256"/>
      <c r="C311" s="257"/>
      <c r="D311" s="198" t="s">
        <v>92</v>
      </c>
      <c r="E311" s="199" t="e">
        <f>SUM(E313:E353)</f>
        <v>#DIV/0!</v>
      </c>
      <c r="F311" s="199">
        <f t="shared" ref="F311:H311" si="260">SUM(F312)</f>
        <v>0</v>
      </c>
      <c r="G311" s="199">
        <f>SUM(G312)</f>
        <v>10</v>
      </c>
      <c r="H311" s="199">
        <f t="shared" si="260"/>
        <v>0</v>
      </c>
      <c r="I311" s="199">
        <f t="shared" si="259"/>
        <v>0</v>
      </c>
    </row>
    <row r="312" spans="1:9" hidden="1" x14ac:dyDescent="0.25">
      <c r="A312" s="258" t="s">
        <v>166</v>
      </c>
      <c r="B312" s="259">
        <v>3299</v>
      </c>
      <c r="C312" s="260">
        <v>3299</v>
      </c>
      <c r="D312" s="98" t="s">
        <v>94</v>
      </c>
      <c r="E312" s="118">
        <v>0</v>
      </c>
      <c r="F312" s="81">
        <v>0</v>
      </c>
      <c r="G312" s="81">
        <v>10</v>
      </c>
      <c r="H312" s="81">
        <v>0</v>
      </c>
      <c r="I312" s="81"/>
    </row>
    <row r="313" spans="1:9" ht="25.5" x14ac:dyDescent="0.25">
      <c r="A313" s="261">
        <v>4</v>
      </c>
      <c r="B313" s="262"/>
      <c r="C313" s="263"/>
      <c r="D313" s="93" t="s">
        <v>21</v>
      </c>
      <c r="E313" s="116" t="e">
        <f>E314</f>
        <v>#DIV/0!</v>
      </c>
      <c r="F313" s="74">
        <f t="shared" ref="F313:H313" si="261">F314</f>
        <v>1372.6</v>
      </c>
      <c r="G313" s="74">
        <f>G314</f>
        <v>2050</v>
      </c>
      <c r="H313" s="74">
        <f t="shared" si="261"/>
        <v>2628.61</v>
      </c>
      <c r="I313" s="74">
        <f t="shared" ref="I313:I315" si="262">H313/G313*100</f>
        <v>128.22</v>
      </c>
    </row>
    <row r="314" spans="1:9" ht="25.5" x14ac:dyDescent="0.25">
      <c r="A314" s="252">
        <v>42</v>
      </c>
      <c r="B314" s="253"/>
      <c r="C314" s="254"/>
      <c r="D314" s="97" t="s">
        <v>98</v>
      </c>
      <c r="E314" s="117" t="e">
        <f>SUM(E316:E320)</f>
        <v>#DIV/0!</v>
      </c>
      <c r="F314" s="75">
        <f>F315+F319</f>
        <v>1372.6</v>
      </c>
      <c r="G314" s="75">
        <f>G315+G319</f>
        <v>2050</v>
      </c>
      <c r="H314" s="75">
        <f>H315+H319</f>
        <v>2628.61</v>
      </c>
      <c r="I314" s="75">
        <f t="shared" si="262"/>
        <v>128.22</v>
      </c>
    </row>
    <row r="315" spans="1:9" x14ac:dyDescent="0.25">
      <c r="A315" s="255" t="s">
        <v>361</v>
      </c>
      <c r="B315" s="256"/>
      <c r="C315" s="257"/>
      <c r="D315" s="198" t="s">
        <v>394</v>
      </c>
      <c r="E315" s="199" t="e">
        <f>SUM(E318:E422)</f>
        <v>#DIV/0!</v>
      </c>
      <c r="F315" s="199">
        <f t="shared" ref="F315" si="263">SUM(F316:F318)</f>
        <v>149.9</v>
      </c>
      <c r="G315" s="199">
        <f>SUM(G316:G318)</f>
        <v>1100</v>
      </c>
      <c r="H315" s="199">
        <f t="shared" ref="H315" si="264">SUM(H316:H318)</f>
        <v>1549.51</v>
      </c>
      <c r="I315" s="199">
        <f t="shared" si="262"/>
        <v>140.86000000000001</v>
      </c>
    </row>
    <row r="316" spans="1:9" hidden="1" x14ac:dyDescent="0.25">
      <c r="A316" s="258" t="s">
        <v>167</v>
      </c>
      <c r="B316" s="259"/>
      <c r="C316" s="260"/>
      <c r="D316" s="98" t="s">
        <v>99</v>
      </c>
      <c r="E316" s="118" t="e">
        <f>10196/K1</f>
        <v>#DIV/0!</v>
      </c>
      <c r="F316" s="81">
        <v>149.9</v>
      </c>
      <c r="G316" s="81">
        <v>300</v>
      </c>
      <c r="H316" s="81">
        <v>980.7</v>
      </c>
      <c r="I316" s="81"/>
    </row>
    <row r="317" spans="1:9" ht="26.25" hidden="1" x14ac:dyDescent="0.25">
      <c r="A317" s="258" t="s">
        <v>411</v>
      </c>
      <c r="B317" s="259"/>
      <c r="C317" s="260"/>
      <c r="D317" s="98" t="s">
        <v>107</v>
      </c>
      <c r="E317" s="118" t="e">
        <f>1518.1/#REF!</f>
        <v>#REF!</v>
      </c>
      <c r="F317" s="81">
        <v>0</v>
      </c>
      <c r="G317" s="81">
        <v>800</v>
      </c>
      <c r="H317" s="81">
        <v>568.80999999999995</v>
      </c>
      <c r="I317" s="81"/>
    </row>
    <row r="318" spans="1:9" hidden="1" x14ac:dyDescent="0.25">
      <c r="A318" s="258" t="s">
        <v>169</v>
      </c>
      <c r="B318" s="259"/>
      <c r="C318" s="260"/>
      <c r="D318" s="98" t="s">
        <v>412</v>
      </c>
      <c r="E318" s="118" t="e">
        <f>1518.1/K1</f>
        <v>#DIV/0!</v>
      </c>
      <c r="F318" s="81">
        <v>0</v>
      </c>
      <c r="G318" s="81">
        <v>0</v>
      </c>
      <c r="H318" s="81">
        <v>0</v>
      </c>
      <c r="I318" s="81"/>
    </row>
    <row r="319" spans="1:9" x14ac:dyDescent="0.25">
      <c r="A319" s="255" t="s">
        <v>366</v>
      </c>
      <c r="B319" s="256"/>
      <c r="C319" s="257"/>
      <c r="D319" s="198" t="s">
        <v>236</v>
      </c>
      <c r="E319" s="199" t="e">
        <f>SUM(E321:E428)</f>
        <v>#DIV/0!</v>
      </c>
      <c r="F319" s="199">
        <f t="shared" ref="F319:H319" si="265">F320</f>
        <v>1222.7</v>
      </c>
      <c r="G319" s="199">
        <f t="shared" ref="G319" si="266">G320</f>
        <v>950</v>
      </c>
      <c r="H319" s="199">
        <f t="shared" si="265"/>
        <v>1079.0999999999999</v>
      </c>
      <c r="I319" s="199">
        <f t="shared" ref="I319" si="267">H319/G319*100</f>
        <v>113.59</v>
      </c>
    </row>
    <row r="320" spans="1:9" hidden="1" x14ac:dyDescent="0.25">
      <c r="A320" s="258" t="s">
        <v>170</v>
      </c>
      <c r="B320" s="259"/>
      <c r="C320" s="260"/>
      <c r="D320" s="98" t="s">
        <v>102</v>
      </c>
      <c r="E320" s="118" t="e">
        <f>6696.02/K1</f>
        <v>#DIV/0!</v>
      </c>
      <c r="F320" s="81">
        <v>1222.7</v>
      </c>
      <c r="G320" s="81">
        <v>950</v>
      </c>
      <c r="H320" s="81">
        <v>1079.0999999999999</v>
      </c>
      <c r="I320" s="81"/>
    </row>
    <row r="321" spans="1:9" ht="15" customHeight="1" x14ac:dyDescent="0.25">
      <c r="A321" s="270" t="s">
        <v>203</v>
      </c>
      <c r="B321" s="271"/>
      <c r="C321" s="272"/>
      <c r="D321" s="84" t="s">
        <v>137</v>
      </c>
      <c r="E321" s="115" t="e">
        <f>E322</f>
        <v>#DIV/0!</v>
      </c>
      <c r="F321" s="73">
        <f>F322+F328</f>
        <v>5834.56</v>
      </c>
      <c r="G321" s="73">
        <f>G322+G328</f>
        <v>1500</v>
      </c>
      <c r="H321" s="73">
        <f>H322+H328</f>
        <v>360</v>
      </c>
      <c r="I321" s="73">
        <f t="shared" ref="I321:I324" si="268">H321/G321*100</f>
        <v>24</v>
      </c>
    </row>
    <row r="322" spans="1:9" x14ac:dyDescent="0.25">
      <c r="A322" s="261">
        <v>3</v>
      </c>
      <c r="B322" s="262"/>
      <c r="C322" s="263"/>
      <c r="D322" s="93" t="s">
        <v>19</v>
      </c>
      <c r="E322" s="116" t="e">
        <f>E323</f>
        <v>#DIV/0!</v>
      </c>
      <c r="F322" s="74">
        <f t="shared" ref="F322:H322" si="269">F323</f>
        <v>1132</v>
      </c>
      <c r="G322" s="74">
        <f t="shared" si="269"/>
        <v>1200</v>
      </c>
      <c r="H322" s="74">
        <f t="shared" si="269"/>
        <v>360</v>
      </c>
      <c r="I322" s="74">
        <f t="shared" si="268"/>
        <v>30</v>
      </c>
    </row>
    <row r="323" spans="1:9" x14ac:dyDescent="0.25">
      <c r="A323" s="252">
        <v>32</v>
      </c>
      <c r="B323" s="253"/>
      <c r="C323" s="254"/>
      <c r="D323" s="97" t="s">
        <v>32</v>
      </c>
      <c r="E323" s="117" t="e">
        <f>E327</f>
        <v>#DIV/0!</v>
      </c>
      <c r="F323" s="132">
        <f>F327+F325</f>
        <v>1132</v>
      </c>
      <c r="G323" s="132">
        <f t="shared" ref="G323" si="270">G327+G325</f>
        <v>1200</v>
      </c>
      <c r="H323" s="132">
        <f>H327+H325</f>
        <v>360</v>
      </c>
      <c r="I323" s="132">
        <f t="shared" si="268"/>
        <v>30</v>
      </c>
    </row>
    <row r="324" spans="1:9" x14ac:dyDescent="0.25">
      <c r="A324" s="255">
        <v>322</v>
      </c>
      <c r="B324" s="256"/>
      <c r="C324" s="257"/>
      <c r="D324" s="198" t="s">
        <v>396</v>
      </c>
      <c r="E324" s="199" t="e">
        <f>SUM(E329:E393)</f>
        <v>#DIV/0!</v>
      </c>
      <c r="F324" s="199">
        <f t="shared" ref="F324:H324" si="271">SUM(F325)</f>
        <v>22</v>
      </c>
      <c r="G324" s="199">
        <f t="shared" si="271"/>
        <v>600</v>
      </c>
      <c r="H324" s="199">
        <f t="shared" si="271"/>
        <v>0</v>
      </c>
      <c r="I324" s="199">
        <f t="shared" si="268"/>
        <v>0</v>
      </c>
    </row>
    <row r="325" spans="1:9" hidden="1" x14ac:dyDescent="0.25">
      <c r="A325" s="258" t="s">
        <v>179</v>
      </c>
      <c r="B325" s="259">
        <v>3299</v>
      </c>
      <c r="C325" s="260">
        <v>3299</v>
      </c>
      <c r="D325" s="95" t="s">
        <v>56</v>
      </c>
      <c r="E325" s="118" t="e">
        <f>4000/#REF!</f>
        <v>#REF!</v>
      </c>
      <c r="F325" s="81">
        <v>22</v>
      </c>
      <c r="G325" s="81">
        <v>600</v>
      </c>
      <c r="H325" s="81"/>
      <c r="I325" s="81"/>
    </row>
    <row r="326" spans="1:9" x14ac:dyDescent="0.25">
      <c r="A326" s="255" t="s">
        <v>336</v>
      </c>
      <c r="B326" s="256"/>
      <c r="C326" s="257"/>
      <c r="D326" s="198" t="s">
        <v>95</v>
      </c>
      <c r="E326" s="199" t="e">
        <f>SUM(E328:E404)</f>
        <v>#DIV/0!</v>
      </c>
      <c r="F326" s="199">
        <f t="shared" ref="F326:H326" si="272">SUM(F327)</f>
        <v>1110</v>
      </c>
      <c r="G326" s="199">
        <f t="shared" si="272"/>
        <v>600</v>
      </c>
      <c r="H326" s="199">
        <f t="shared" si="272"/>
        <v>360</v>
      </c>
      <c r="I326" s="199">
        <f t="shared" ref="I326" si="273">H326/G326*100</f>
        <v>60</v>
      </c>
    </row>
    <row r="327" spans="1:9" hidden="1" x14ac:dyDescent="0.25">
      <c r="A327" s="258">
        <v>3299</v>
      </c>
      <c r="B327" s="259">
        <v>3299</v>
      </c>
      <c r="C327" s="260">
        <v>3299</v>
      </c>
      <c r="D327" s="95" t="s">
        <v>69</v>
      </c>
      <c r="E327" s="118" t="e">
        <f>4000/K1</f>
        <v>#DIV/0!</v>
      </c>
      <c r="F327" s="81">
        <v>1110</v>
      </c>
      <c r="G327" s="81">
        <v>600</v>
      </c>
      <c r="H327" s="81">
        <v>360</v>
      </c>
      <c r="I327" s="81"/>
    </row>
    <row r="328" spans="1:9" ht="25.5" x14ac:dyDescent="0.25">
      <c r="A328" s="261">
        <v>4</v>
      </c>
      <c r="B328" s="262"/>
      <c r="C328" s="263"/>
      <c r="D328" s="107" t="s">
        <v>21</v>
      </c>
      <c r="E328" s="116" t="e">
        <f>E329</f>
        <v>#DIV/0!</v>
      </c>
      <c r="F328" s="74">
        <f t="shared" ref="F328:H328" si="274">F329</f>
        <v>4702.5600000000004</v>
      </c>
      <c r="G328" s="74">
        <f t="shared" si="274"/>
        <v>300</v>
      </c>
      <c r="H328" s="74">
        <f t="shared" si="274"/>
        <v>0</v>
      </c>
      <c r="I328" s="74">
        <f t="shared" ref="I328:I330" si="275">H328/G328*100</f>
        <v>0</v>
      </c>
    </row>
    <row r="329" spans="1:9" ht="25.5" x14ac:dyDescent="0.25">
      <c r="A329" s="252">
        <v>42</v>
      </c>
      <c r="B329" s="253"/>
      <c r="C329" s="254"/>
      <c r="D329" s="97" t="s">
        <v>98</v>
      </c>
      <c r="E329" s="117" t="e">
        <f>SUM(E331:E333)</f>
        <v>#DIV/0!</v>
      </c>
      <c r="F329" s="75">
        <f>F331</f>
        <v>4702.5600000000004</v>
      </c>
      <c r="G329" s="75">
        <f>G331</f>
        <v>300</v>
      </c>
      <c r="H329" s="75">
        <f>H331</f>
        <v>0</v>
      </c>
      <c r="I329" s="75">
        <f t="shared" si="275"/>
        <v>0</v>
      </c>
    </row>
    <row r="330" spans="1:9" x14ac:dyDescent="0.25">
      <c r="A330" s="255" t="s">
        <v>361</v>
      </c>
      <c r="B330" s="256"/>
      <c r="C330" s="257"/>
      <c r="D330" s="198" t="s">
        <v>394</v>
      </c>
      <c r="E330" s="199" t="e">
        <f>SUM(E332:E454)</f>
        <v>#DIV/0!</v>
      </c>
      <c r="F330" s="199">
        <f t="shared" ref="F330:H330" si="276">SUM(F331)</f>
        <v>4702.5600000000004</v>
      </c>
      <c r="G330" s="199">
        <f t="shared" si="276"/>
        <v>300</v>
      </c>
      <c r="H330" s="199">
        <f t="shared" si="276"/>
        <v>0</v>
      </c>
      <c r="I330" s="199">
        <f t="shared" si="275"/>
        <v>0</v>
      </c>
    </row>
    <row r="331" spans="1:9" hidden="1" x14ac:dyDescent="0.25">
      <c r="A331" s="258" t="s">
        <v>167</v>
      </c>
      <c r="B331" s="259"/>
      <c r="C331" s="260"/>
      <c r="D331" s="98" t="s">
        <v>99</v>
      </c>
      <c r="E331" s="118" t="e">
        <f>10196/K12</f>
        <v>#DIV/0!</v>
      </c>
      <c r="F331" s="81">
        <v>4702.5600000000004</v>
      </c>
      <c r="G331" s="81">
        <v>300</v>
      </c>
      <c r="H331" s="81"/>
      <c r="I331" s="81"/>
    </row>
    <row r="332" spans="1:9" ht="27.75" customHeight="1" x14ac:dyDescent="0.25">
      <c r="A332" s="267" t="s">
        <v>71</v>
      </c>
      <c r="B332" s="268"/>
      <c r="C332" s="269"/>
      <c r="D332" s="92" t="s">
        <v>138</v>
      </c>
      <c r="E332" s="114" t="e">
        <f>E333</f>
        <v>#DIV/0!</v>
      </c>
      <c r="F332" s="72">
        <f t="shared" ref="F332:G332" si="277">F333</f>
        <v>1547809.77</v>
      </c>
      <c r="G332" s="72">
        <f t="shared" si="277"/>
        <v>1608342</v>
      </c>
      <c r="H332" s="72">
        <f>H333</f>
        <v>1813157.75</v>
      </c>
      <c r="I332" s="72">
        <f t="shared" ref="I332:I336" si="278">H332/G332*100</f>
        <v>112.73</v>
      </c>
    </row>
    <row r="333" spans="1:9" ht="15" customHeight="1" x14ac:dyDescent="0.25">
      <c r="A333" s="270" t="s">
        <v>135</v>
      </c>
      <c r="B333" s="271"/>
      <c r="C333" s="272"/>
      <c r="D333" s="84" t="s">
        <v>136</v>
      </c>
      <c r="E333" s="115" t="e">
        <f>E334</f>
        <v>#DIV/0!</v>
      </c>
      <c r="F333" s="73">
        <f t="shared" ref="F333:G333" si="279">F334</f>
        <v>1547809.77</v>
      </c>
      <c r="G333" s="73">
        <f t="shared" si="279"/>
        <v>1608342</v>
      </c>
      <c r="H333" s="73">
        <f>H334</f>
        <v>1813157.75</v>
      </c>
      <c r="I333" s="73">
        <f t="shared" si="278"/>
        <v>112.73</v>
      </c>
    </row>
    <row r="334" spans="1:9" x14ac:dyDescent="0.25">
      <c r="A334" s="261">
        <v>3</v>
      </c>
      <c r="B334" s="262"/>
      <c r="C334" s="263"/>
      <c r="D334" s="93" t="s">
        <v>19</v>
      </c>
      <c r="E334" s="116" t="e">
        <f>E335+E343+E351</f>
        <v>#DIV/0!</v>
      </c>
      <c r="F334" s="74">
        <f>F335+F343+F351</f>
        <v>1547809.77</v>
      </c>
      <c r="G334" s="74">
        <f>G335+G343+G351</f>
        <v>1608342</v>
      </c>
      <c r="H334" s="74">
        <f>H335+H343+H351</f>
        <v>1813157.75</v>
      </c>
      <c r="I334" s="74">
        <f t="shared" si="278"/>
        <v>112.73</v>
      </c>
    </row>
    <row r="335" spans="1:9" x14ac:dyDescent="0.25">
      <c r="A335" s="252">
        <v>31</v>
      </c>
      <c r="B335" s="253"/>
      <c r="C335" s="254"/>
      <c r="D335" s="97" t="s">
        <v>20</v>
      </c>
      <c r="E335" s="117" t="e">
        <f>SUM(E337:E342)</f>
        <v>#DIV/0!</v>
      </c>
      <c r="F335" s="75">
        <f t="shared" ref="F335" si="280">F336+F338+F340</f>
        <v>1503311.47</v>
      </c>
      <c r="G335" s="75">
        <f t="shared" ref="G335:H335" si="281">G336+G338+G340</f>
        <v>1559845</v>
      </c>
      <c r="H335" s="75">
        <f t="shared" si="281"/>
        <v>1770389.46</v>
      </c>
      <c r="I335" s="75">
        <f t="shared" si="278"/>
        <v>113.5</v>
      </c>
    </row>
    <row r="336" spans="1:9" x14ac:dyDescent="0.25">
      <c r="A336" s="255" t="s">
        <v>294</v>
      </c>
      <c r="B336" s="256"/>
      <c r="C336" s="257"/>
      <c r="D336" s="198" t="s">
        <v>391</v>
      </c>
      <c r="E336" s="199" t="e">
        <f>SUM(E372:E417)</f>
        <v>#DIV/0!</v>
      </c>
      <c r="F336" s="199">
        <f t="shared" ref="F336:H336" si="282">F337</f>
        <v>1249806.67</v>
      </c>
      <c r="G336" s="199">
        <f t="shared" ref="G336" si="283">G337</f>
        <v>1296000</v>
      </c>
      <c r="H336" s="199">
        <f t="shared" si="282"/>
        <v>1476640.64</v>
      </c>
      <c r="I336" s="199">
        <f t="shared" si="278"/>
        <v>113.94</v>
      </c>
    </row>
    <row r="337" spans="1:9" hidden="1" x14ac:dyDescent="0.25">
      <c r="A337" s="258" t="s">
        <v>159</v>
      </c>
      <c r="B337" s="259"/>
      <c r="C337" s="260"/>
      <c r="D337" s="98" t="s">
        <v>80</v>
      </c>
      <c r="E337" s="118" t="e">
        <f>6412777.49/K1</f>
        <v>#DIV/0!</v>
      </c>
      <c r="F337" s="81">
        <f>12058.64+1237748.03</f>
        <v>1249806.67</v>
      </c>
      <c r="G337" s="81">
        <f>108000*12</f>
        <v>1296000</v>
      </c>
      <c r="H337" s="81">
        <v>1476640.64</v>
      </c>
      <c r="I337" s="81"/>
    </row>
    <row r="338" spans="1:9" x14ac:dyDescent="0.25">
      <c r="A338" s="255" t="s">
        <v>297</v>
      </c>
      <c r="B338" s="256"/>
      <c r="C338" s="257"/>
      <c r="D338" s="198" t="s">
        <v>81</v>
      </c>
      <c r="E338" s="199" t="e">
        <f>SUM(E371:E418)</f>
        <v>#DIV/0!</v>
      </c>
      <c r="F338" s="199">
        <f t="shared" ref="F338:H338" si="284">F339</f>
        <v>47064.87</v>
      </c>
      <c r="G338" s="199">
        <f t="shared" ref="G338" si="285">G339</f>
        <v>50000</v>
      </c>
      <c r="H338" s="199">
        <f t="shared" si="284"/>
        <v>49712.42</v>
      </c>
      <c r="I338" s="199">
        <f t="shared" ref="I338" si="286">H338/G338*100</f>
        <v>99.42</v>
      </c>
    </row>
    <row r="339" spans="1:9" hidden="1" x14ac:dyDescent="0.25">
      <c r="A339" s="258" t="s">
        <v>160</v>
      </c>
      <c r="B339" s="259"/>
      <c r="C339" s="260"/>
      <c r="D339" s="98" t="s">
        <v>81</v>
      </c>
      <c r="E339" s="118" t="e">
        <f>296018.66/K1</f>
        <v>#DIV/0!</v>
      </c>
      <c r="F339" s="81">
        <v>47064.87</v>
      </c>
      <c r="G339" s="81">
        <v>50000</v>
      </c>
      <c r="H339" s="81">
        <v>49712.42</v>
      </c>
      <c r="I339" s="81"/>
    </row>
    <row r="340" spans="1:9" x14ac:dyDescent="0.25">
      <c r="A340" s="255" t="s">
        <v>299</v>
      </c>
      <c r="B340" s="256"/>
      <c r="C340" s="257"/>
      <c r="D340" s="198" t="s">
        <v>392</v>
      </c>
      <c r="E340" s="199" t="e">
        <f>SUM(E353:E419)</f>
        <v>#DIV/0!</v>
      </c>
      <c r="F340" s="199">
        <f t="shared" ref="F340" si="287">F341+F342</f>
        <v>206439.93</v>
      </c>
      <c r="G340" s="199">
        <f t="shared" ref="G340:H340" si="288">G341+G342</f>
        <v>213845</v>
      </c>
      <c r="H340" s="199">
        <f t="shared" si="288"/>
        <v>244036.4</v>
      </c>
      <c r="I340" s="199">
        <f t="shared" ref="I340" si="289">H340/G340*100</f>
        <v>114.12</v>
      </c>
    </row>
    <row r="341" spans="1:9" hidden="1" x14ac:dyDescent="0.25">
      <c r="A341" s="258" t="s">
        <v>161</v>
      </c>
      <c r="B341" s="259"/>
      <c r="C341" s="260"/>
      <c r="D341" s="98" t="s">
        <v>82</v>
      </c>
      <c r="E341" s="118" t="e">
        <f>1064366.94/K1</f>
        <v>#DIV/0!</v>
      </c>
      <c r="F341" s="81">
        <v>206439.93</v>
      </c>
      <c r="G341" s="81">
        <v>213840</v>
      </c>
      <c r="H341" s="81">
        <v>244036.4</v>
      </c>
      <c r="I341" s="81"/>
    </row>
    <row r="342" spans="1:9" ht="26.25" hidden="1" x14ac:dyDescent="0.25">
      <c r="A342" s="258" t="s">
        <v>174</v>
      </c>
      <c r="B342" s="259"/>
      <c r="C342" s="260"/>
      <c r="D342" s="98" t="s">
        <v>103</v>
      </c>
      <c r="E342" s="118" t="e">
        <f>1228.92/K1</f>
        <v>#DIV/0!</v>
      </c>
      <c r="F342" s="81">
        <v>0</v>
      </c>
      <c r="G342" s="81">
        <v>5</v>
      </c>
      <c r="H342" s="81">
        <v>0</v>
      </c>
      <c r="I342" s="81"/>
    </row>
    <row r="343" spans="1:9" x14ac:dyDescent="0.25">
      <c r="A343" s="252">
        <v>32</v>
      </c>
      <c r="B343" s="253"/>
      <c r="C343" s="254"/>
      <c r="D343" s="97" t="s">
        <v>32</v>
      </c>
      <c r="E343" s="117" t="e">
        <f>SUM(E345:E350)</f>
        <v>#DIV/0!</v>
      </c>
      <c r="F343" s="75">
        <f t="shared" ref="F343" si="290">F344+F346+F348</f>
        <v>44498.3</v>
      </c>
      <c r="G343" s="75">
        <f t="shared" ref="G343" si="291">G344+G346+G348</f>
        <v>48492</v>
      </c>
      <c r="H343" s="75">
        <f>H344+H346+H348</f>
        <v>42768.29</v>
      </c>
      <c r="I343" s="75">
        <f t="shared" ref="I343:I344" si="292">H343/G343*100</f>
        <v>88.2</v>
      </c>
    </row>
    <row r="344" spans="1:9" x14ac:dyDescent="0.25">
      <c r="A344" s="255" t="s">
        <v>305</v>
      </c>
      <c r="B344" s="256"/>
      <c r="C344" s="257"/>
      <c r="D344" s="198" t="s">
        <v>393</v>
      </c>
      <c r="E344" s="199" t="e">
        <f>SUM(E347:E464)</f>
        <v>#DIV/0!</v>
      </c>
      <c r="F344" s="199">
        <f t="shared" ref="F344:H344" si="293">SUM(F345)</f>
        <v>40522.300000000003</v>
      </c>
      <c r="G344" s="199">
        <f t="shared" si="293"/>
        <v>44400</v>
      </c>
      <c r="H344" s="199">
        <f t="shared" si="293"/>
        <v>37776.29</v>
      </c>
      <c r="I344" s="199">
        <f t="shared" si="292"/>
        <v>85.08</v>
      </c>
    </row>
    <row r="345" spans="1:9" hidden="1" x14ac:dyDescent="0.25">
      <c r="A345" s="258" t="s">
        <v>163</v>
      </c>
      <c r="B345" s="259"/>
      <c r="C345" s="260"/>
      <c r="D345" s="98" t="s">
        <v>83</v>
      </c>
      <c r="E345" s="118" t="e">
        <f>242495.4/K1</f>
        <v>#DIV/0!</v>
      </c>
      <c r="F345" s="81">
        <v>40522.300000000003</v>
      </c>
      <c r="G345" s="81">
        <v>44400</v>
      </c>
      <c r="H345" s="81">
        <v>37776.29</v>
      </c>
      <c r="I345" s="81"/>
    </row>
    <row r="346" spans="1:9" x14ac:dyDescent="0.25">
      <c r="A346" s="255" t="s">
        <v>320</v>
      </c>
      <c r="B346" s="256"/>
      <c r="C346" s="257"/>
      <c r="D346" s="198" t="s">
        <v>389</v>
      </c>
      <c r="E346" s="199" t="e">
        <f>SUM(E349:E423)</f>
        <v>#DIV/0!</v>
      </c>
      <c r="F346" s="199">
        <f t="shared" ref="F346:H346" si="294">SUM(F347)</f>
        <v>0</v>
      </c>
      <c r="G346" s="199">
        <f t="shared" si="294"/>
        <v>50</v>
      </c>
      <c r="H346" s="199">
        <f t="shared" si="294"/>
        <v>0</v>
      </c>
      <c r="I346" s="199">
        <f t="shared" ref="I346" si="295">H346/G346*100</f>
        <v>0</v>
      </c>
    </row>
    <row r="347" spans="1:9" hidden="1" x14ac:dyDescent="0.25">
      <c r="A347" s="258" t="s">
        <v>173</v>
      </c>
      <c r="B347" s="259"/>
      <c r="C347" s="260"/>
      <c r="D347" s="103" t="s">
        <v>172</v>
      </c>
      <c r="E347" s="118" t="e">
        <f>4050/K1</f>
        <v>#DIV/0!</v>
      </c>
      <c r="F347" s="81">
        <v>0</v>
      </c>
      <c r="G347" s="81">
        <v>50</v>
      </c>
      <c r="H347" s="81">
        <v>0</v>
      </c>
      <c r="I347" s="81"/>
    </row>
    <row r="348" spans="1:9" x14ac:dyDescent="0.25">
      <c r="A348" s="255" t="s">
        <v>336</v>
      </c>
      <c r="B348" s="256"/>
      <c r="C348" s="257"/>
      <c r="D348" s="198" t="s">
        <v>95</v>
      </c>
      <c r="E348" s="199" t="e">
        <f>SUM(E350:E430)</f>
        <v>#DIV/0!</v>
      </c>
      <c r="F348" s="199">
        <f t="shared" ref="F348" si="296">SUM(F349:F350)</f>
        <v>3976</v>
      </c>
      <c r="G348" s="199">
        <f t="shared" ref="G348:H348" si="297">SUM(G349:G350)</f>
        <v>4042</v>
      </c>
      <c r="H348" s="199">
        <f t="shared" si="297"/>
        <v>4992</v>
      </c>
      <c r="I348" s="199">
        <f t="shared" ref="I348" si="298">H348/G348*100</f>
        <v>123.5</v>
      </c>
    </row>
    <row r="349" spans="1:9" hidden="1" x14ac:dyDescent="0.25">
      <c r="A349" s="258" t="s">
        <v>175</v>
      </c>
      <c r="B349" s="259"/>
      <c r="C349" s="260"/>
      <c r="D349" s="98" t="s">
        <v>104</v>
      </c>
      <c r="E349" s="118" t="e">
        <f>20450/K1</f>
        <v>#DIV/0!</v>
      </c>
      <c r="F349" s="81">
        <v>3976</v>
      </c>
      <c r="G349" s="81">
        <v>4032</v>
      </c>
      <c r="H349" s="81">
        <v>4992</v>
      </c>
      <c r="I349" s="81"/>
    </row>
    <row r="350" spans="1:9" hidden="1" x14ac:dyDescent="0.25">
      <c r="A350" s="100" t="s">
        <v>176</v>
      </c>
      <c r="B350" s="101"/>
      <c r="C350" s="102"/>
      <c r="D350" s="98" t="s">
        <v>105</v>
      </c>
      <c r="E350" s="118" t="e">
        <f>37163.22/K1</f>
        <v>#DIV/0!</v>
      </c>
      <c r="F350" s="81">
        <v>0</v>
      </c>
      <c r="G350" s="81">
        <v>10</v>
      </c>
      <c r="H350" s="81">
        <v>0</v>
      </c>
      <c r="I350" s="81"/>
    </row>
    <row r="351" spans="1:9" x14ac:dyDescent="0.25">
      <c r="A351" s="252">
        <v>34</v>
      </c>
      <c r="B351" s="253"/>
      <c r="C351" s="254"/>
      <c r="D351" s="97" t="s">
        <v>92</v>
      </c>
      <c r="E351" s="117" t="e">
        <f>E353</f>
        <v>#DIV/0!</v>
      </c>
      <c r="F351" s="82">
        <f t="shared" ref="F351" si="299">F353</f>
        <v>0</v>
      </c>
      <c r="G351" s="82">
        <f t="shared" ref="G351:H351" si="300">G353</f>
        <v>5</v>
      </c>
      <c r="H351" s="82">
        <f t="shared" si="300"/>
        <v>0</v>
      </c>
      <c r="I351" s="75">
        <f t="shared" ref="I351:I352" si="301">H351/G351*100</f>
        <v>0</v>
      </c>
    </row>
    <row r="352" spans="1:9" x14ac:dyDescent="0.25">
      <c r="A352" s="255" t="s">
        <v>345</v>
      </c>
      <c r="B352" s="256"/>
      <c r="C352" s="257"/>
      <c r="D352" s="198" t="s">
        <v>92</v>
      </c>
      <c r="E352" s="199" t="e">
        <f>SUM(E369:E415)</f>
        <v>#DIV/0!</v>
      </c>
      <c r="F352" s="199">
        <f t="shared" ref="F352:H352" si="302">SUM(F353)</f>
        <v>0</v>
      </c>
      <c r="G352" s="199">
        <f t="shared" ref="G352" si="303">SUM(G353)</f>
        <v>5</v>
      </c>
      <c r="H352" s="199">
        <f t="shared" si="302"/>
        <v>0</v>
      </c>
      <c r="I352" s="199">
        <f t="shared" si="301"/>
        <v>0</v>
      </c>
    </row>
    <row r="353" spans="1:9" hidden="1" x14ac:dyDescent="0.25">
      <c r="A353" s="104" t="s">
        <v>166</v>
      </c>
      <c r="B353" s="105"/>
      <c r="C353" s="106"/>
      <c r="D353" s="98" t="s">
        <v>94</v>
      </c>
      <c r="E353" s="118" t="e">
        <f>26596.96/K1</f>
        <v>#DIV/0!</v>
      </c>
      <c r="F353" s="81">
        <v>0</v>
      </c>
      <c r="G353" s="81">
        <v>5</v>
      </c>
      <c r="H353" s="81">
        <v>0</v>
      </c>
      <c r="I353" s="89"/>
    </row>
    <row r="354" spans="1:9" ht="21" customHeight="1" x14ac:dyDescent="0.25">
      <c r="A354" s="267" t="s">
        <v>402</v>
      </c>
      <c r="B354" s="268"/>
      <c r="C354" s="269"/>
      <c r="D354" s="92" t="s">
        <v>403</v>
      </c>
      <c r="E354" s="114" t="e">
        <f>E355+E377+E383+E398</f>
        <v>#DIV/0!</v>
      </c>
      <c r="F354" s="72">
        <f t="shared" ref="F354:H355" si="304">F355</f>
        <v>0</v>
      </c>
      <c r="G354" s="72">
        <f t="shared" si="304"/>
        <v>66812</v>
      </c>
      <c r="H354" s="72">
        <f t="shared" si="304"/>
        <v>63902.9</v>
      </c>
      <c r="I354" s="72">
        <f t="shared" ref="I354:I358" si="305">H354/G354*100</f>
        <v>95.65</v>
      </c>
    </row>
    <row r="355" spans="1:9" ht="15" customHeight="1" x14ac:dyDescent="0.25">
      <c r="A355" s="270" t="s">
        <v>135</v>
      </c>
      <c r="B355" s="271"/>
      <c r="C355" s="272"/>
      <c r="D355" s="84" t="s">
        <v>136</v>
      </c>
      <c r="E355" s="115" t="e">
        <f>E356+E373</f>
        <v>#DIV/0!</v>
      </c>
      <c r="F355" s="73">
        <f t="shared" si="304"/>
        <v>0</v>
      </c>
      <c r="G355" s="73">
        <f t="shared" si="304"/>
        <v>66812</v>
      </c>
      <c r="H355" s="73">
        <f>H356</f>
        <v>63902.9</v>
      </c>
      <c r="I355" s="73">
        <f t="shared" si="305"/>
        <v>95.65</v>
      </c>
    </row>
    <row r="356" spans="1:9" x14ac:dyDescent="0.25">
      <c r="A356" s="261">
        <v>3</v>
      </c>
      <c r="B356" s="262"/>
      <c r="C356" s="263"/>
      <c r="D356" s="201" t="s">
        <v>19</v>
      </c>
      <c r="E356" s="116" t="e">
        <f>E369</f>
        <v>#DIV/0!</v>
      </c>
      <c r="F356" s="74">
        <f>F357+F365</f>
        <v>0</v>
      </c>
      <c r="G356" s="74">
        <f>G357+G365</f>
        <v>66812</v>
      </c>
      <c r="H356" s="74">
        <f>H357+H365</f>
        <v>63902.9</v>
      </c>
      <c r="I356" s="74">
        <f t="shared" si="305"/>
        <v>95.65</v>
      </c>
    </row>
    <row r="357" spans="1:9" x14ac:dyDescent="0.25">
      <c r="A357" s="252">
        <v>31</v>
      </c>
      <c r="B357" s="253"/>
      <c r="C357" s="254"/>
      <c r="D357" s="97" t="s">
        <v>20</v>
      </c>
      <c r="E357" s="117" t="e">
        <f>SUM(E359:E364)</f>
        <v>#DIV/0!</v>
      </c>
      <c r="F357" s="75">
        <f t="shared" ref="F357:G357" si="306">F358+F360+F362</f>
        <v>0</v>
      </c>
      <c r="G357" s="75">
        <f t="shared" si="306"/>
        <v>64192</v>
      </c>
      <c r="H357" s="75">
        <f>H358+H360+H362</f>
        <v>60923.08</v>
      </c>
      <c r="I357" s="75">
        <f t="shared" si="305"/>
        <v>94.91</v>
      </c>
    </row>
    <row r="358" spans="1:9" x14ac:dyDescent="0.25">
      <c r="A358" s="255" t="s">
        <v>294</v>
      </c>
      <c r="B358" s="256"/>
      <c r="C358" s="257"/>
      <c r="D358" s="198" t="s">
        <v>391</v>
      </c>
      <c r="E358" s="199" t="e">
        <f>SUM(E394:E454)</f>
        <v>#DIV/0!</v>
      </c>
      <c r="F358" s="199">
        <f t="shared" ref="F358:H358" si="307">F359</f>
        <v>0</v>
      </c>
      <c r="G358" s="199">
        <f t="shared" si="307"/>
        <v>53712</v>
      </c>
      <c r="H358" s="199">
        <f t="shared" si="307"/>
        <v>50921.13</v>
      </c>
      <c r="I358" s="199">
        <f t="shared" si="305"/>
        <v>94.8</v>
      </c>
    </row>
    <row r="359" spans="1:9" hidden="1" x14ac:dyDescent="0.25">
      <c r="A359" s="258" t="s">
        <v>159</v>
      </c>
      <c r="B359" s="259"/>
      <c r="C359" s="260"/>
      <c r="D359" s="98" t="s">
        <v>80</v>
      </c>
      <c r="E359" s="118" t="e">
        <f>6412777.49/K30</f>
        <v>#DIV/0!</v>
      </c>
      <c r="F359" s="81">
        <v>0</v>
      </c>
      <c r="G359" s="81">
        <v>53712</v>
      </c>
      <c r="H359" s="81">
        <v>50921.13</v>
      </c>
      <c r="I359" s="81"/>
    </row>
    <row r="360" spans="1:9" x14ac:dyDescent="0.25">
      <c r="A360" s="255" t="s">
        <v>297</v>
      </c>
      <c r="B360" s="256"/>
      <c r="C360" s="257"/>
      <c r="D360" s="198" t="s">
        <v>81</v>
      </c>
      <c r="E360" s="199" t="e">
        <f>SUM(E393:E455)</f>
        <v>#DIV/0!</v>
      </c>
      <c r="F360" s="199">
        <f t="shared" ref="F360:H360" si="308">F361</f>
        <v>0</v>
      </c>
      <c r="G360" s="199">
        <f t="shared" si="308"/>
        <v>1600</v>
      </c>
      <c r="H360" s="199">
        <f t="shared" si="308"/>
        <v>2320.9699999999998</v>
      </c>
      <c r="I360" s="199">
        <f t="shared" ref="I360" si="309">H360/G360*100</f>
        <v>145.06</v>
      </c>
    </row>
    <row r="361" spans="1:9" hidden="1" x14ac:dyDescent="0.25">
      <c r="A361" s="258" t="s">
        <v>160</v>
      </c>
      <c r="B361" s="259"/>
      <c r="C361" s="260"/>
      <c r="D361" s="98" t="s">
        <v>81</v>
      </c>
      <c r="E361" s="118" t="e">
        <f>296018.66/K30</f>
        <v>#DIV/0!</v>
      </c>
      <c r="F361" s="81">
        <v>0</v>
      </c>
      <c r="G361" s="81">
        <v>1600</v>
      </c>
      <c r="H361" s="81">
        <v>2320.9699999999998</v>
      </c>
      <c r="I361" s="81"/>
    </row>
    <row r="362" spans="1:9" x14ac:dyDescent="0.25">
      <c r="A362" s="255" t="s">
        <v>299</v>
      </c>
      <c r="B362" s="256"/>
      <c r="C362" s="257"/>
      <c r="D362" s="198" t="s">
        <v>392</v>
      </c>
      <c r="E362" s="199" t="e">
        <f>SUM(E371:E456)</f>
        <v>#DIV/0!</v>
      </c>
      <c r="F362" s="199">
        <f>F363+F364</f>
        <v>0</v>
      </c>
      <c r="G362" s="199">
        <f>G363+G364</f>
        <v>8880</v>
      </c>
      <c r="H362" s="199">
        <f>H363+H364</f>
        <v>7680.98</v>
      </c>
      <c r="I362" s="199">
        <f t="shared" ref="I362" si="310">H362/G362*100</f>
        <v>86.5</v>
      </c>
    </row>
    <row r="363" spans="1:9" hidden="1" x14ac:dyDescent="0.25">
      <c r="A363" s="258" t="s">
        <v>161</v>
      </c>
      <c r="B363" s="259"/>
      <c r="C363" s="260"/>
      <c r="D363" s="98" t="s">
        <v>82</v>
      </c>
      <c r="E363" s="118" t="e">
        <f>1064366.94/K30</f>
        <v>#DIV/0!</v>
      </c>
      <c r="F363" s="81">
        <v>0</v>
      </c>
      <c r="G363" s="81">
        <v>8880</v>
      </c>
      <c r="H363" s="81">
        <v>7680.98</v>
      </c>
      <c r="I363" s="81"/>
    </row>
    <row r="364" spans="1:9" ht="26.25" hidden="1" x14ac:dyDescent="0.25">
      <c r="A364" s="258" t="s">
        <v>174</v>
      </c>
      <c r="B364" s="259"/>
      <c r="C364" s="260"/>
      <c r="D364" s="98" t="s">
        <v>103</v>
      </c>
      <c r="E364" s="118" t="e">
        <f>1228.92/K30</f>
        <v>#DIV/0!</v>
      </c>
      <c r="F364" s="81">
        <v>0</v>
      </c>
      <c r="G364" s="81">
        <v>0</v>
      </c>
      <c r="H364" s="81">
        <v>0</v>
      </c>
      <c r="I364" s="81"/>
    </row>
    <row r="365" spans="1:9" x14ac:dyDescent="0.25">
      <c r="A365" s="252">
        <v>32</v>
      </c>
      <c r="B365" s="253"/>
      <c r="C365" s="254"/>
      <c r="D365" s="97" t="s">
        <v>32</v>
      </c>
      <c r="E365" s="117" t="e">
        <f>SUM(E368:E368)</f>
        <v>#DIV/0!</v>
      </c>
      <c r="F365" s="75">
        <f>F366</f>
        <v>0</v>
      </c>
      <c r="G365" s="75">
        <f>G366</f>
        <v>2620</v>
      </c>
      <c r="H365" s="75">
        <f>H366</f>
        <v>2979.82</v>
      </c>
      <c r="I365" s="75">
        <f t="shared" ref="I365:I366" si="311">H365/G365*100</f>
        <v>113.73</v>
      </c>
    </row>
    <row r="366" spans="1:9" x14ac:dyDescent="0.25">
      <c r="A366" s="255" t="s">
        <v>305</v>
      </c>
      <c r="B366" s="256"/>
      <c r="C366" s="257"/>
      <c r="D366" s="198" t="s">
        <v>393</v>
      </c>
      <c r="E366" s="199" t="e">
        <f>SUM(E369:E487)</f>
        <v>#DIV/0!</v>
      </c>
      <c r="F366" s="199">
        <f t="shared" ref="F366:H366" si="312">SUM(F368)</f>
        <v>0</v>
      </c>
      <c r="G366" s="199">
        <f>SUM(G367:G368)</f>
        <v>2620</v>
      </c>
      <c r="H366" s="199">
        <f t="shared" si="312"/>
        <v>2979.82</v>
      </c>
      <c r="I366" s="199">
        <f t="shared" si="311"/>
        <v>113.73</v>
      </c>
    </row>
    <row r="367" spans="1:9" hidden="1" x14ac:dyDescent="0.25">
      <c r="A367" s="258" t="s">
        <v>162</v>
      </c>
      <c r="B367" s="259"/>
      <c r="C367" s="260"/>
      <c r="D367" s="98" t="s">
        <v>52</v>
      </c>
      <c r="E367" s="118" t="e">
        <f>242495.4/K29</f>
        <v>#DIV/0!</v>
      </c>
      <c r="F367" s="81">
        <v>0</v>
      </c>
      <c r="G367" s="81">
        <v>120</v>
      </c>
      <c r="H367" s="81">
        <v>0</v>
      </c>
      <c r="I367" s="81"/>
    </row>
    <row r="368" spans="1:9" hidden="1" x14ac:dyDescent="0.25">
      <c r="A368" s="258" t="s">
        <v>163</v>
      </c>
      <c r="B368" s="259"/>
      <c r="C368" s="260"/>
      <c r="D368" s="98" t="s">
        <v>83</v>
      </c>
      <c r="E368" s="118" t="e">
        <f>242495.4/K30</f>
        <v>#DIV/0!</v>
      </c>
      <c r="F368" s="81">
        <v>0</v>
      </c>
      <c r="G368" s="81">
        <v>2500</v>
      </c>
      <c r="H368" s="81">
        <v>2979.82</v>
      </c>
      <c r="I368" s="81"/>
    </row>
    <row r="369" spans="1:10" ht="21" customHeight="1" x14ac:dyDescent="0.3">
      <c r="A369" s="267" t="s">
        <v>75</v>
      </c>
      <c r="B369" s="268"/>
      <c r="C369" s="269"/>
      <c r="D369" s="92" t="s">
        <v>139</v>
      </c>
      <c r="E369" s="114" t="e">
        <f>E370+E380+E386+E401</f>
        <v>#DIV/0!</v>
      </c>
      <c r="F369" s="72">
        <f>F370+F380+F386+F401</f>
        <v>97572.98</v>
      </c>
      <c r="G369" s="72">
        <f>G370+G380+G386+G401</f>
        <v>139725.5</v>
      </c>
      <c r="H369" s="72">
        <f>H370+H380+H386+H401</f>
        <v>119080.96000000001</v>
      </c>
      <c r="I369" s="72">
        <f t="shared" ref="I369:I373" si="313">H369/G369*100</f>
        <v>85.22</v>
      </c>
      <c r="J369" s="206" t="s">
        <v>409</v>
      </c>
    </row>
    <row r="370" spans="1:10" ht="15" customHeight="1" x14ac:dyDescent="0.25">
      <c r="A370" s="270" t="s">
        <v>125</v>
      </c>
      <c r="B370" s="271"/>
      <c r="C370" s="272"/>
      <c r="D370" s="84" t="s">
        <v>36</v>
      </c>
      <c r="E370" s="115">
        <f>E371+E376</f>
        <v>0</v>
      </c>
      <c r="F370" s="73">
        <f t="shared" ref="F370" si="314">F371+F376</f>
        <v>87.97</v>
      </c>
      <c r="G370" s="73">
        <f t="shared" ref="G370" si="315">G371+G376</f>
        <v>1200</v>
      </c>
      <c r="H370" s="73">
        <f>H371+H376</f>
        <v>0</v>
      </c>
      <c r="I370" s="73">
        <f t="shared" si="313"/>
        <v>0</v>
      </c>
    </row>
    <row r="371" spans="1:10" x14ac:dyDescent="0.25">
      <c r="A371" s="261">
        <v>3</v>
      </c>
      <c r="B371" s="262"/>
      <c r="C371" s="263"/>
      <c r="D371" s="93" t="s">
        <v>19</v>
      </c>
      <c r="E371" s="116">
        <f>E372</f>
        <v>0</v>
      </c>
      <c r="F371" s="74">
        <f t="shared" ref="F371:H371" si="316">F372</f>
        <v>87.97</v>
      </c>
      <c r="G371" s="74">
        <f t="shared" si="316"/>
        <v>1000</v>
      </c>
      <c r="H371" s="74">
        <f t="shared" si="316"/>
        <v>0</v>
      </c>
      <c r="I371" s="74">
        <f t="shared" si="313"/>
        <v>0</v>
      </c>
    </row>
    <row r="372" spans="1:10" x14ac:dyDescent="0.25">
      <c r="A372" s="252">
        <v>32</v>
      </c>
      <c r="B372" s="253"/>
      <c r="C372" s="254"/>
      <c r="D372" s="97" t="s">
        <v>32</v>
      </c>
      <c r="E372" s="117">
        <f>E375</f>
        <v>0</v>
      </c>
      <c r="F372" s="75">
        <f>F375+F374</f>
        <v>87.97</v>
      </c>
      <c r="G372" s="203">
        <f>G373-500</f>
        <v>1000</v>
      </c>
      <c r="H372" s="75">
        <f>H375+H374</f>
        <v>0</v>
      </c>
      <c r="I372" s="75">
        <f t="shared" si="313"/>
        <v>0</v>
      </c>
    </row>
    <row r="373" spans="1:10" x14ac:dyDescent="0.25">
      <c r="A373" s="255" t="s">
        <v>311</v>
      </c>
      <c r="B373" s="256"/>
      <c r="C373" s="257"/>
      <c r="D373" s="198" t="s">
        <v>396</v>
      </c>
      <c r="E373" s="199" t="e">
        <f>SUM(E376:E479)</f>
        <v>#DIV/0!</v>
      </c>
      <c r="F373" s="199">
        <f t="shared" ref="F373" si="317">SUM(F374:F375)</f>
        <v>87.97</v>
      </c>
      <c r="G373" s="199">
        <f t="shared" ref="G373:H373" si="318">SUM(G374:G375)</f>
        <v>1500</v>
      </c>
      <c r="H373" s="199">
        <f t="shared" si="318"/>
        <v>0</v>
      </c>
      <c r="I373" s="199">
        <f t="shared" si="313"/>
        <v>0</v>
      </c>
    </row>
    <row r="374" spans="1:10" hidden="1" x14ac:dyDescent="0.25">
      <c r="A374" s="100" t="s">
        <v>178</v>
      </c>
      <c r="B374" s="101"/>
      <c r="C374" s="102"/>
      <c r="D374" s="98" t="s">
        <v>106</v>
      </c>
      <c r="E374" s="118">
        <v>0</v>
      </c>
      <c r="F374" s="86">
        <v>87.97</v>
      </c>
      <c r="G374" s="86">
        <v>500</v>
      </c>
      <c r="H374" s="86">
        <v>0</v>
      </c>
      <c r="I374" s="81"/>
    </row>
    <row r="375" spans="1:10" ht="15.75" hidden="1" customHeight="1" x14ac:dyDescent="0.25">
      <c r="A375" s="258" t="s">
        <v>165</v>
      </c>
      <c r="B375" s="259"/>
      <c r="C375" s="260"/>
      <c r="D375" s="98" t="s">
        <v>73</v>
      </c>
      <c r="E375" s="118"/>
      <c r="F375" s="81">
        <v>0</v>
      </c>
      <c r="G375" s="81">
        <v>1000</v>
      </c>
      <c r="H375" s="81">
        <v>0</v>
      </c>
      <c r="I375" s="81"/>
    </row>
    <row r="376" spans="1:10" ht="25.5" x14ac:dyDescent="0.25">
      <c r="A376" s="261">
        <v>4</v>
      </c>
      <c r="B376" s="262"/>
      <c r="C376" s="263"/>
      <c r="D376" s="93" t="s">
        <v>21</v>
      </c>
      <c r="E376" s="116">
        <f>E377</f>
        <v>0</v>
      </c>
      <c r="F376" s="74">
        <f t="shared" ref="F376:H376" si="319">F377</f>
        <v>0</v>
      </c>
      <c r="G376" s="74">
        <f t="shared" si="319"/>
        <v>200</v>
      </c>
      <c r="H376" s="74">
        <f t="shared" si="319"/>
        <v>0</v>
      </c>
      <c r="I376" s="74">
        <f t="shared" ref="I376:I378" si="320">H376/G376*100</f>
        <v>0</v>
      </c>
    </row>
    <row r="377" spans="1:10" ht="25.5" x14ac:dyDescent="0.25">
      <c r="A377" s="252">
        <v>42</v>
      </c>
      <c r="B377" s="253"/>
      <c r="C377" s="254"/>
      <c r="D377" s="97" t="s">
        <v>98</v>
      </c>
      <c r="E377" s="117">
        <f>E379</f>
        <v>0</v>
      </c>
      <c r="F377" s="75">
        <f t="shared" ref="F377" si="321">F379</f>
        <v>0</v>
      </c>
      <c r="G377" s="75">
        <f t="shared" ref="G377:H377" si="322">G379</f>
        <v>200</v>
      </c>
      <c r="H377" s="75">
        <f t="shared" si="322"/>
        <v>0</v>
      </c>
      <c r="I377" s="75">
        <f t="shared" si="320"/>
        <v>0</v>
      </c>
    </row>
    <row r="378" spans="1:10" x14ac:dyDescent="0.25">
      <c r="A378" s="255" t="s">
        <v>361</v>
      </c>
      <c r="B378" s="256"/>
      <c r="C378" s="257"/>
      <c r="D378" s="198" t="s">
        <v>394</v>
      </c>
      <c r="E378" s="199" t="e">
        <f>SUM(E380:E489)</f>
        <v>#DIV/0!</v>
      </c>
      <c r="F378" s="199">
        <f t="shared" ref="F378:H378" si="323">SUM(F379)</f>
        <v>0</v>
      </c>
      <c r="G378" s="199">
        <f t="shared" ref="G378" si="324">SUM(G379)</f>
        <v>200</v>
      </c>
      <c r="H378" s="199">
        <f t="shared" si="323"/>
        <v>0</v>
      </c>
      <c r="I378" s="199">
        <f t="shared" si="320"/>
        <v>0</v>
      </c>
    </row>
    <row r="379" spans="1:10" ht="26.25" hidden="1" x14ac:dyDescent="0.25">
      <c r="A379" s="100" t="s">
        <v>169</v>
      </c>
      <c r="B379" s="101"/>
      <c r="C379" s="102"/>
      <c r="D379" s="98" t="s">
        <v>107</v>
      </c>
      <c r="E379" s="118"/>
      <c r="F379" s="81">
        <v>0</v>
      </c>
      <c r="G379" s="81">
        <v>200</v>
      </c>
      <c r="H379" s="81">
        <v>0</v>
      </c>
      <c r="I379" s="81"/>
    </row>
    <row r="380" spans="1:10" ht="15" customHeight="1" x14ac:dyDescent="0.25">
      <c r="A380" s="270" t="s">
        <v>133</v>
      </c>
      <c r="B380" s="271"/>
      <c r="C380" s="272"/>
      <c r="D380" s="84" t="s">
        <v>134</v>
      </c>
      <c r="E380" s="115" t="e">
        <f>E381</f>
        <v>#DIV/0!</v>
      </c>
      <c r="F380" s="73">
        <f t="shared" ref="F380:H380" si="325">F381</f>
        <v>4145.78</v>
      </c>
      <c r="G380" s="73">
        <f t="shared" si="325"/>
        <v>27200</v>
      </c>
      <c r="H380" s="73">
        <f t="shared" si="325"/>
        <v>20994.75</v>
      </c>
      <c r="I380" s="73">
        <f t="shared" ref="I380:I383" si="326">H380/G380*100</f>
        <v>77.19</v>
      </c>
    </row>
    <row r="381" spans="1:10" x14ac:dyDescent="0.25">
      <c r="A381" s="261">
        <v>3</v>
      </c>
      <c r="B381" s="262"/>
      <c r="C381" s="263"/>
      <c r="D381" s="93" t="s">
        <v>19</v>
      </c>
      <c r="E381" s="116" t="e">
        <f>E382</f>
        <v>#DIV/0!</v>
      </c>
      <c r="F381" s="74">
        <f t="shared" ref="F381:H381" si="327">F382</f>
        <v>4145.78</v>
      </c>
      <c r="G381" s="74">
        <f t="shared" si="327"/>
        <v>27200</v>
      </c>
      <c r="H381" s="74">
        <f t="shared" si="327"/>
        <v>20994.75</v>
      </c>
      <c r="I381" s="74">
        <f t="shared" si="326"/>
        <v>77.19</v>
      </c>
    </row>
    <row r="382" spans="1:10" x14ac:dyDescent="0.25">
      <c r="A382" s="252">
        <v>32</v>
      </c>
      <c r="B382" s="253"/>
      <c r="C382" s="254"/>
      <c r="D382" s="97" t="s">
        <v>32</v>
      </c>
      <c r="E382" s="117" t="e">
        <f>SUM(E384:E385)</f>
        <v>#DIV/0!</v>
      </c>
      <c r="F382" s="75">
        <f>SUM(F384:F385)</f>
        <v>4145.78</v>
      </c>
      <c r="G382" s="75">
        <f>SUM(G384:G385)</f>
        <v>27200</v>
      </c>
      <c r="H382" s="75">
        <f>SUM(H384:H385)</f>
        <v>20994.75</v>
      </c>
      <c r="I382" s="75">
        <f t="shared" si="326"/>
        <v>77.19</v>
      </c>
      <c r="J382" s="75"/>
    </row>
    <row r="383" spans="1:10" x14ac:dyDescent="0.25">
      <c r="A383" s="255" t="s">
        <v>311</v>
      </c>
      <c r="B383" s="256"/>
      <c r="C383" s="257"/>
      <c r="D383" s="198" t="s">
        <v>396</v>
      </c>
      <c r="E383" s="199" t="e">
        <f>SUM(E386:E489)</f>
        <v>#DIV/0!</v>
      </c>
      <c r="F383" s="199">
        <f t="shared" ref="F383:H383" si="328">SUM(F384:F385)</f>
        <v>4145.78</v>
      </c>
      <c r="G383" s="199">
        <f t="shared" ref="G383" si="329">SUM(G384:G385)</f>
        <v>27200</v>
      </c>
      <c r="H383" s="199">
        <f t="shared" si="328"/>
        <v>20994.75</v>
      </c>
      <c r="I383" s="199">
        <f t="shared" si="326"/>
        <v>77.19</v>
      </c>
    </row>
    <row r="384" spans="1:10" hidden="1" x14ac:dyDescent="0.25">
      <c r="A384" s="258" t="s">
        <v>177</v>
      </c>
      <c r="B384" s="259"/>
      <c r="C384" s="260"/>
      <c r="D384" s="98" t="s">
        <v>54</v>
      </c>
      <c r="E384" s="118" t="e">
        <f>3656.85/K1</f>
        <v>#DIV/0!</v>
      </c>
      <c r="F384" s="81">
        <v>0</v>
      </c>
      <c r="G384" s="81">
        <v>200</v>
      </c>
      <c r="H384" s="81">
        <v>350</v>
      </c>
      <c r="I384" s="81"/>
    </row>
    <row r="385" spans="1:9" hidden="1" x14ac:dyDescent="0.25">
      <c r="A385" s="100" t="s">
        <v>178</v>
      </c>
      <c r="B385" s="101"/>
      <c r="C385" s="102"/>
      <c r="D385" s="98" t="s">
        <v>106</v>
      </c>
      <c r="E385" s="118" t="e">
        <f>218853.05/K1</f>
        <v>#DIV/0!</v>
      </c>
      <c r="F385" s="81">
        <v>4145.78</v>
      </c>
      <c r="G385" s="81">
        <v>27000</v>
      </c>
      <c r="H385" s="81">
        <v>20644.75</v>
      </c>
      <c r="I385" s="81"/>
    </row>
    <row r="386" spans="1:9" ht="15" customHeight="1" x14ac:dyDescent="0.25">
      <c r="A386" s="270" t="s">
        <v>135</v>
      </c>
      <c r="B386" s="271"/>
      <c r="C386" s="272"/>
      <c r="D386" s="84" t="s">
        <v>136</v>
      </c>
      <c r="E386" s="115" t="e">
        <f>E387+E397</f>
        <v>#DIV/0!</v>
      </c>
      <c r="F386" s="73">
        <f t="shared" ref="F386" si="330">F387+F397</f>
        <v>93339.23</v>
      </c>
      <c r="G386" s="73">
        <f t="shared" ref="G386:H386" si="331">G387+G397</f>
        <v>111325.5</v>
      </c>
      <c r="H386" s="73">
        <f t="shared" si="331"/>
        <v>98086.21</v>
      </c>
      <c r="I386" s="73">
        <f t="shared" ref="I386:I389" si="332">H386/G386*100</f>
        <v>88.11</v>
      </c>
    </row>
    <row r="387" spans="1:9" x14ac:dyDescent="0.25">
      <c r="A387" s="261">
        <v>3</v>
      </c>
      <c r="B387" s="262"/>
      <c r="C387" s="263"/>
      <c r="D387" s="93" t="s">
        <v>19</v>
      </c>
      <c r="E387" s="116" t="e">
        <f>E388</f>
        <v>#DIV/0!</v>
      </c>
      <c r="F387" s="74">
        <f t="shared" ref="F387:H387" si="333">F388</f>
        <v>93339.23</v>
      </c>
      <c r="G387" s="74">
        <f t="shared" si="333"/>
        <v>110825.5</v>
      </c>
      <c r="H387" s="74">
        <f t="shared" si="333"/>
        <v>98086.21</v>
      </c>
      <c r="I387" s="74">
        <f t="shared" si="332"/>
        <v>88.51</v>
      </c>
    </row>
    <row r="388" spans="1:9" x14ac:dyDescent="0.25">
      <c r="A388" s="252">
        <v>32</v>
      </c>
      <c r="B388" s="253"/>
      <c r="C388" s="254"/>
      <c r="D388" s="97" t="s">
        <v>32</v>
      </c>
      <c r="E388" s="117" t="e">
        <f>SUM(E390:E396)</f>
        <v>#DIV/0!</v>
      </c>
      <c r="F388" s="75">
        <f t="shared" ref="F388" si="334">F389+F394</f>
        <v>93339.23</v>
      </c>
      <c r="G388" s="75">
        <f t="shared" ref="G388:H388" si="335">G389+G394</f>
        <v>110825.5</v>
      </c>
      <c r="H388" s="75">
        <f t="shared" si="335"/>
        <v>98086.21</v>
      </c>
      <c r="I388" s="75">
        <f t="shared" si="332"/>
        <v>88.51</v>
      </c>
    </row>
    <row r="389" spans="1:9" x14ac:dyDescent="0.25">
      <c r="A389" s="255" t="s">
        <v>311</v>
      </c>
      <c r="B389" s="256"/>
      <c r="C389" s="257"/>
      <c r="D389" s="198" t="s">
        <v>396</v>
      </c>
      <c r="E389" s="199" t="e">
        <f>SUM(E392:E495)</f>
        <v>#DIV/0!</v>
      </c>
      <c r="F389" s="199">
        <f t="shared" ref="F389" si="336">SUM(F390:F393)</f>
        <v>93339.23</v>
      </c>
      <c r="G389" s="199">
        <f t="shared" ref="G389:H389" si="337">SUM(G390:G393)</f>
        <v>110225.5</v>
      </c>
      <c r="H389" s="199">
        <f t="shared" si="337"/>
        <v>98086.21</v>
      </c>
      <c r="I389" s="199">
        <f t="shared" si="332"/>
        <v>88.99</v>
      </c>
    </row>
    <row r="390" spans="1:9" hidden="1" x14ac:dyDescent="0.25">
      <c r="A390" s="258" t="s">
        <v>177</v>
      </c>
      <c r="B390" s="259"/>
      <c r="C390" s="260"/>
      <c r="D390" s="98" t="s">
        <v>54</v>
      </c>
      <c r="E390" s="118" t="e">
        <f>3273.22/K1</f>
        <v>#DIV/0!</v>
      </c>
      <c r="F390" s="81">
        <v>0</v>
      </c>
      <c r="G390" s="81">
        <v>300</v>
      </c>
      <c r="H390" s="81">
        <v>0</v>
      </c>
      <c r="I390" s="81"/>
    </row>
    <row r="391" spans="1:9" hidden="1" x14ac:dyDescent="0.25">
      <c r="A391" s="100" t="s">
        <v>178</v>
      </c>
      <c r="B391" s="101"/>
      <c r="C391" s="102"/>
      <c r="D391" s="98" t="s">
        <v>106</v>
      </c>
      <c r="E391" s="118" t="e">
        <f>167699.64/K1</f>
        <v>#DIV/0!</v>
      </c>
      <c r="F391" s="81">
        <v>93339.23</v>
      </c>
      <c r="G391" s="81">
        <v>109525.5</v>
      </c>
      <c r="H391" s="81">
        <v>98086.21</v>
      </c>
      <c r="I391" s="81"/>
    </row>
    <row r="392" spans="1:9" hidden="1" x14ac:dyDescent="0.25">
      <c r="A392" s="258" t="s">
        <v>164</v>
      </c>
      <c r="B392" s="259"/>
      <c r="C392" s="260"/>
      <c r="D392" s="98" t="s">
        <v>72</v>
      </c>
      <c r="E392" s="118"/>
      <c r="F392" s="81">
        <v>0</v>
      </c>
      <c r="G392" s="81">
        <v>200</v>
      </c>
      <c r="H392" s="81">
        <v>0</v>
      </c>
      <c r="I392" s="81"/>
    </row>
    <row r="393" spans="1:9" hidden="1" x14ac:dyDescent="0.25">
      <c r="A393" s="258" t="s">
        <v>179</v>
      </c>
      <c r="B393" s="259"/>
      <c r="C393" s="260"/>
      <c r="D393" s="98" t="s">
        <v>56</v>
      </c>
      <c r="E393" s="118" t="e">
        <f>293.21/K1</f>
        <v>#DIV/0!</v>
      </c>
      <c r="F393" s="81">
        <v>0</v>
      </c>
      <c r="G393" s="81">
        <v>200</v>
      </c>
      <c r="H393" s="81">
        <v>0</v>
      </c>
      <c r="I393" s="81"/>
    </row>
    <row r="394" spans="1:9" x14ac:dyDescent="0.25">
      <c r="A394" s="255" t="s">
        <v>320</v>
      </c>
      <c r="B394" s="256"/>
      <c r="C394" s="257"/>
      <c r="D394" s="198" t="s">
        <v>389</v>
      </c>
      <c r="E394" s="199" t="e">
        <f>SUM(E397:E504)</f>
        <v>#DIV/0!</v>
      </c>
      <c r="F394" s="199">
        <f t="shared" ref="F394:H394" si="338">SUM(F395:F396)</f>
        <v>0</v>
      </c>
      <c r="G394" s="199">
        <f t="shared" ref="G394" si="339">SUM(G395:G396)</f>
        <v>600</v>
      </c>
      <c r="H394" s="199">
        <f t="shared" si="338"/>
        <v>0</v>
      </c>
      <c r="I394" s="199">
        <f t="shared" ref="I394" si="340">H394/G394*100</f>
        <v>0</v>
      </c>
    </row>
    <row r="395" spans="1:9" hidden="1" x14ac:dyDescent="0.25">
      <c r="A395" s="258" t="s">
        <v>165</v>
      </c>
      <c r="B395" s="259"/>
      <c r="C395" s="260"/>
      <c r="D395" s="98" t="s">
        <v>73</v>
      </c>
      <c r="E395" s="118"/>
      <c r="F395" s="81">
        <v>0</v>
      </c>
      <c r="G395" s="81">
        <v>500</v>
      </c>
      <c r="H395" s="81">
        <v>0</v>
      </c>
      <c r="I395" s="81"/>
    </row>
    <row r="396" spans="1:9" hidden="1" x14ac:dyDescent="0.25">
      <c r="A396" s="258" t="s">
        <v>173</v>
      </c>
      <c r="B396" s="259"/>
      <c r="C396" s="260"/>
      <c r="D396" s="103" t="s">
        <v>181</v>
      </c>
      <c r="E396" s="118"/>
      <c r="F396" s="81">
        <v>0</v>
      </c>
      <c r="G396" s="81">
        <v>100</v>
      </c>
      <c r="H396" s="81">
        <v>0</v>
      </c>
      <c r="I396" s="81"/>
    </row>
    <row r="397" spans="1:9" ht="25.5" x14ac:dyDescent="0.25">
      <c r="A397" s="261">
        <v>4</v>
      </c>
      <c r="B397" s="262"/>
      <c r="C397" s="263"/>
      <c r="D397" s="93" t="s">
        <v>21</v>
      </c>
      <c r="E397" s="116" t="e">
        <f>E398</f>
        <v>#DIV/0!</v>
      </c>
      <c r="F397" s="74">
        <f t="shared" ref="F397:H397" si="341">F398</f>
        <v>0</v>
      </c>
      <c r="G397" s="74">
        <f t="shared" si="341"/>
        <v>500</v>
      </c>
      <c r="H397" s="74">
        <f t="shared" si="341"/>
        <v>0</v>
      </c>
      <c r="I397" s="74">
        <f t="shared" ref="I397:I399" si="342">H397/G397*100</f>
        <v>0</v>
      </c>
    </row>
    <row r="398" spans="1:9" ht="25.5" x14ac:dyDescent="0.25">
      <c r="A398" s="252">
        <v>42</v>
      </c>
      <c r="B398" s="253"/>
      <c r="C398" s="254"/>
      <c r="D398" s="97" t="s">
        <v>98</v>
      </c>
      <c r="E398" s="117" t="e">
        <f>E400</f>
        <v>#DIV/0!</v>
      </c>
      <c r="F398" s="75">
        <f>F400</f>
        <v>0</v>
      </c>
      <c r="G398" s="75">
        <f>G400</f>
        <v>500</v>
      </c>
      <c r="H398" s="75">
        <f>H400</f>
        <v>0</v>
      </c>
      <c r="I398" s="75">
        <f t="shared" si="342"/>
        <v>0</v>
      </c>
    </row>
    <row r="399" spans="1:9" x14ac:dyDescent="0.25">
      <c r="A399" s="255" t="s">
        <v>361</v>
      </c>
      <c r="B399" s="256"/>
      <c r="C399" s="257"/>
      <c r="D399" s="198" t="s">
        <v>394</v>
      </c>
      <c r="E399" s="199" t="e">
        <f>SUM(E401:E515)</f>
        <v>#DIV/0!</v>
      </c>
      <c r="F399" s="199">
        <f t="shared" ref="F399:H399" si="343">SUM(F400)</f>
        <v>0</v>
      </c>
      <c r="G399" s="199">
        <f>SUM(G400)</f>
        <v>500</v>
      </c>
      <c r="H399" s="199">
        <f t="shared" si="343"/>
        <v>0</v>
      </c>
      <c r="I399" s="199">
        <f t="shared" si="342"/>
        <v>0</v>
      </c>
    </row>
    <row r="400" spans="1:9" ht="26.25" hidden="1" x14ac:dyDescent="0.25">
      <c r="A400" s="100" t="s">
        <v>169</v>
      </c>
      <c r="B400" s="101"/>
      <c r="C400" s="102"/>
      <c r="D400" s="98" t="s">
        <v>107</v>
      </c>
      <c r="E400" s="118" t="e">
        <f>12756.93/K1</f>
        <v>#DIV/0!</v>
      </c>
      <c r="F400" s="81">
        <v>0</v>
      </c>
      <c r="G400" s="81">
        <v>500</v>
      </c>
      <c r="H400" s="81">
        <v>0</v>
      </c>
      <c r="I400" s="89"/>
    </row>
    <row r="401" spans="1:14" ht="15" customHeight="1" x14ac:dyDescent="0.25">
      <c r="A401" s="270" t="s">
        <v>180</v>
      </c>
      <c r="B401" s="271"/>
      <c r="C401" s="272"/>
      <c r="D401" s="84" t="s">
        <v>154</v>
      </c>
      <c r="E401" s="115">
        <f>E402</f>
        <v>0</v>
      </c>
      <c r="F401" s="73">
        <f t="shared" ref="F401:I401" si="344">F402</f>
        <v>0</v>
      </c>
      <c r="G401" s="73">
        <f t="shared" si="344"/>
        <v>0</v>
      </c>
      <c r="H401" s="73">
        <f t="shared" si="344"/>
        <v>0</v>
      </c>
      <c r="I401" s="73">
        <f t="shared" si="344"/>
        <v>0</v>
      </c>
    </row>
    <row r="402" spans="1:14" x14ac:dyDescent="0.25">
      <c r="A402" s="261">
        <v>3</v>
      </c>
      <c r="B402" s="262"/>
      <c r="C402" s="263"/>
      <c r="D402" s="93" t="s">
        <v>19</v>
      </c>
      <c r="E402" s="116">
        <f>E403</f>
        <v>0</v>
      </c>
      <c r="F402" s="74">
        <f t="shared" ref="F402:I402" si="345">F403</f>
        <v>0</v>
      </c>
      <c r="G402" s="74">
        <f t="shared" si="345"/>
        <v>0</v>
      </c>
      <c r="H402" s="74">
        <f t="shared" si="345"/>
        <v>0</v>
      </c>
      <c r="I402" s="74">
        <f t="shared" si="345"/>
        <v>0</v>
      </c>
    </row>
    <row r="403" spans="1:14" x14ac:dyDescent="0.25">
      <c r="A403" s="252">
        <v>32</v>
      </c>
      <c r="B403" s="253"/>
      <c r="C403" s="254"/>
      <c r="D403" s="97" t="s">
        <v>32</v>
      </c>
      <c r="E403" s="117">
        <f>SUM(E404:E406)</f>
        <v>0</v>
      </c>
      <c r="F403" s="75">
        <f t="shared" ref="F403" si="346">SUM(F404:F406)</f>
        <v>0</v>
      </c>
      <c r="G403" s="75">
        <f t="shared" ref="G403:I403" si="347">SUM(G404:G406)</f>
        <v>0</v>
      </c>
      <c r="H403" s="75">
        <f t="shared" si="347"/>
        <v>0</v>
      </c>
      <c r="I403" s="75">
        <f t="shared" si="347"/>
        <v>0</v>
      </c>
    </row>
    <row r="404" spans="1:14" hidden="1" x14ac:dyDescent="0.25">
      <c r="A404" s="100" t="s">
        <v>178</v>
      </c>
      <c r="B404" s="101"/>
      <c r="C404" s="102"/>
      <c r="D404" s="98" t="s">
        <v>106</v>
      </c>
      <c r="E404" s="118"/>
      <c r="F404" s="62"/>
      <c r="G404" s="62"/>
      <c r="H404" s="62"/>
      <c r="I404" s="63"/>
    </row>
    <row r="405" spans="1:14" hidden="1" x14ac:dyDescent="0.25">
      <c r="A405" s="258" t="s">
        <v>179</v>
      </c>
      <c r="B405" s="259"/>
      <c r="C405" s="260"/>
      <c r="D405" s="98" t="s">
        <v>56</v>
      </c>
      <c r="E405" s="118"/>
      <c r="F405" s="62"/>
      <c r="G405" s="62"/>
      <c r="H405" s="62"/>
      <c r="I405" s="63"/>
    </row>
    <row r="406" spans="1:14" hidden="1" x14ac:dyDescent="0.25">
      <c r="A406" s="258" t="s">
        <v>165</v>
      </c>
      <c r="B406" s="259"/>
      <c r="C406" s="260"/>
      <c r="D406" s="98" t="s">
        <v>73</v>
      </c>
      <c r="E406" s="118"/>
      <c r="F406" s="62"/>
      <c r="G406" s="62"/>
      <c r="H406" s="62"/>
      <c r="I406" s="63"/>
    </row>
    <row r="407" spans="1:14" ht="21" customHeight="1" x14ac:dyDescent="0.3">
      <c r="A407" s="267" t="s">
        <v>108</v>
      </c>
      <c r="B407" s="268"/>
      <c r="C407" s="269"/>
      <c r="D407" s="92" t="s">
        <v>140</v>
      </c>
      <c r="E407" s="114" t="e">
        <f>E408+E413</f>
        <v>#DIV/0!</v>
      </c>
      <c r="F407" s="72">
        <f t="shared" ref="F407" si="348">F408+F413</f>
        <v>27573.97</v>
      </c>
      <c r="G407" s="72">
        <f t="shared" ref="G407" si="349">G408+G413</f>
        <v>27100</v>
      </c>
      <c r="H407" s="72">
        <f>H408+H413</f>
        <v>43659.54</v>
      </c>
      <c r="I407" s="72">
        <f t="shared" ref="I407:I411" si="350">H407/G407*100</f>
        <v>161.11000000000001</v>
      </c>
      <c r="J407" s="207" t="s">
        <v>410</v>
      </c>
    </row>
    <row r="408" spans="1:14" ht="15" customHeight="1" x14ac:dyDescent="0.25">
      <c r="A408" s="270" t="s">
        <v>125</v>
      </c>
      <c r="B408" s="271"/>
      <c r="C408" s="272"/>
      <c r="D408" s="84" t="s">
        <v>36</v>
      </c>
      <c r="E408" s="115">
        <f>E409</f>
        <v>0</v>
      </c>
      <c r="F408" s="73">
        <f t="shared" ref="F408:H408" si="351">F409</f>
        <v>2.48</v>
      </c>
      <c r="G408" s="73">
        <f t="shared" si="351"/>
        <v>100</v>
      </c>
      <c r="H408" s="73">
        <f t="shared" si="351"/>
        <v>3.76</v>
      </c>
      <c r="I408" s="73">
        <f t="shared" si="350"/>
        <v>3.76</v>
      </c>
      <c r="N408" s="40"/>
    </row>
    <row r="409" spans="1:14" x14ac:dyDescent="0.25">
      <c r="A409" s="261">
        <v>3</v>
      </c>
      <c r="B409" s="262"/>
      <c r="C409" s="263"/>
      <c r="D409" s="93" t="s">
        <v>19</v>
      </c>
      <c r="E409" s="116">
        <f>E410</f>
        <v>0</v>
      </c>
      <c r="F409" s="74">
        <f t="shared" ref="F409:H409" si="352">F410</f>
        <v>2.48</v>
      </c>
      <c r="G409" s="74">
        <f t="shared" si="352"/>
        <v>100</v>
      </c>
      <c r="H409" s="74">
        <f t="shared" si="352"/>
        <v>3.76</v>
      </c>
      <c r="I409" s="74">
        <f t="shared" si="350"/>
        <v>3.76</v>
      </c>
    </row>
    <row r="410" spans="1:14" x14ac:dyDescent="0.25">
      <c r="A410" s="252">
        <v>32</v>
      </c>
      <c r="B410" s="253"/>
      <c r="C410" s="254"/>
      <c r="D410" s="97" t="s">
        <v>32</v>
      </c>
      <c r="E410" s="117">
        <f>E412</f>
        <v>0</v>
      </c>
      <c r="F410" s="75">
        <f t="shared" ref="F410" si="353">F412</f>
        <v>2.48</v>
      </c>
      <c r="G410" s="75">
        <f t="shared" ref="G410:H410" si="354">G412</f>
        <v>100</v>
      </c>
      <c r="H410" s="75">
        <f t="shared" si="354"/>
        <v>3.76</v>
      </c>
      <c r="I410" s="75">
        <f t="shared" si="350"/>
        <v>3.76</v>
      </c>
    </row>
    <row r="411" spans="1:14" x14ac:dyDescent="0.25">
      <c r="A411" s="255" t="s">
        <v>311</v>
      </c>
      <c r="B411" s="256"/>
      <c r="C411" s="257"/>
      <c r="D411" s="198" t="s">
        <v>396</v>
      </c>
      <c r="E411" s="199" t="e">
        <f>SUM(E414:E521)</f>
        <v>#DIV/0!</v>
      </c>
      <c r="F411" s="199">
        <f>SUM(F412)</f>
        <v>2.48</v>
      </c>
      <c r="G411" s="199">
        <f>SUM(G412)</f>
        <v>100</v>
      </c>
      <c r="H411" s="199">
        <f>SUM(H412)</f>
        <v>3.76</v>
      </c>
      <c r="I411" s="199">
        <f t="shared" si="350"/>
        <v>3.76</v>
      </c>
    </row>
    <row r="412" spans="1:14" x14ac:dyDescent="0.25">
      <c r="A412" s="258" t="s">
        <v>177</v>
      </c>
      <c r="B412" s="259"/>
      <c r="C412" s="260"/>
      <c r="D412" s="98" t="s">
        <v>109</v>
      </c>
      <c r="E412" s="118"/>
      <c r="F412" s="81">
        <v>2.48</v>
      </c>
      <c r="G412" s="81">
        <v>100</v>
      </c>
      <c r="H412" s="81">
        <v>3.76</v>
      </c>
      <c r="I412" s="81"/>
    </row>
    <row r="413" spans="1:14" ht="15" customHeight="1" x14ac:dyDescent="0.25">
      <c r="A413" s="270" t="s">
        <v>135</v>
      </c>
      <c r="B413" s="271"/>
      <c r="C413" s="272"/>
      <c r="D413" s="84" t="s">
        <v>136</v>
      </c>
      <c r="E413" s="115" t="e">
        <f>E414+E419</f>
        <v>#DIV/0!</v>
      </c>
      <c r="F413" s="73">
        <f t="shared" ref="F413" si="355">F414+F419</f>
        <v>27571.49</v>
      </c>
      <c r="G413" s="73">
        <f t="shared" ref="G413" si="356">G414+G419</f>
        <v>27000</v>
      </c>
      <c r="H413" s="73">
        <f>H414+H419</f>
        <v>43655.78</v>
      </c>
      <c r="I413" s="73">
        <f t="shared" ref="I413:I416" si="357">H413/G413*100</f>
        <v>161.69</v>
      </c>
    </row>
    <row r="414" spans="1:14" x14ac:dyDescent="0.25">
      <c r="A414" s="261">
        <v>3</v>
      </c>
      <c r="B414" s="262"/>
      <c r="C414" s="263"/>
      <c r="D414" s="93" t="s">
        <v>19</v>
      </c>
      <c r="E414" s="116" t="e">
        <f>E415+E418</f>
        <v>#DIV/0!</v>
      </c>
      <c r="F414" s="74">
        <f t="shared" ref="F414" si="358">F415+F418</f>
        <v>27424.65</v>
      </c>
      <c r="G414" s="74">
        <f t="shared" ref="G414:H414" si="359">G415+G418</f>
        <v>25000</v>
      </c>
      <c r="H414" s="74">
        <f t="shared" si="359"/>
        <v>41920.339999999997</v>
      </c>
      <c r="I414" s="74">
        <f t="shared" si="357"/>
        <v>167.68</v>
      </c>
    </row>
    <row r="415" spans="1:14" x14ac:dyDescent="0.25">
      <c r="A415" s="252">
        <v>32</v>
      </c>
      <c r="B415" s="253"/>
      <c r="C415" s="254"/>
      <c r="D415" s="97" t="s">
        <v>32</v>
      </c>
      <c r="E415" s="117" t="e">
        <f>E417</f>
        <v>#DIV/0!</v>
      </c>
      <c r="F415" s="75">
        <f t="shared" ref="F415" si="360">F417</f>
        <v>27424.65</v>
      </c>
      <c r="G415" s="75">
        <f t="shared" ref="G415:H415" si="361">G417</f>
        <v>25000</v>
      </c>
      <c r="H415" s="75">
        <f t="shared" si="361"/>
        <v>41920.339999999997</v>
      </c>
      <c r="I415" s="75">
        <f t="shared" si="357"/>
        <v>167.68</v>
      </c>
    </row>
    <row r="416" spans="1:14" x14ac:dyDescent="0.25">
      <c r="A416" s="255" t="s">
        <v>311</v>
      </c>
      <c r="B416" s="256"/>
      <c r="C416" s="257"/>
      <c r="D416" s="198" t="s">
        <v>396</v>
      </c>
      <c r="E416" s="199" t="e">
        <f>SUM(E419:E528)</f>
        <v>#DIV/0!</v>
      </c>
      <c r="F416" s="199">
        <f>SUM(F417)</f>
        <v>27424.65</v>
      </c>
      <c r="G416" s="199">
        <f>SUM(G417)</f>
        <v>25000</v>
      </c>
      <c r="H416" s="199">
        <f>SUM(H417)</f>
        <v>41920.339999999997</v>
      </c>
      <c r="I416" s="199">
        <f t="shared" si="357"/>
        <v>167.68</v>
      </c>
    </row>
    <row r="417" spans="1:14" hidden="1" x14ac:dyDescent="0.25">
      <c r="A417" s="258" t="s">
        <v>177</v>
      </c>
      <c r="B417" s="259"/>
      <c r="C417" s="260"/>
      <c r="D417" s="98" t="s">
        <v>109</v>
      </c>
      <c r="E417" s="118" t="e">
        <f>185769.84/K1</f>
        <v>#DIV/0!</v>
      </c>
      <c r="F417" s="81">
        <v>27424.65</v>
      </c>
      <c r="G417" s="81">
        <v>25000</v>
      </c>
      <c r="H417" s="81">
        <v>41920.339999999997</v>
      </c>
      <c r="I417" s="81"/>
    </row>
    <row r="418" spans="1:14" x14ac:dyDescent="0.25">
      <c r="A418" s="252">
        <v>34</v>
      </c>
      <c r="B418" s="253"/>
      <c r="C418" s="254"/>
      <c r="D418" s="97" t="s">
        <v>92</v>
      </c>
      <c r="E418" s="117">
        <v>0</v>
      </c>
      <c r="F418" s="75">
        <v>0</v>
      </c>
      <c r="G418" s="75">
        <v>0</v>
      </c>
      <c r="H418" s="75">
        <v>0</v>
      </c>
      <c r="I418" s="75"/>
    </row>
    <row r="419" spans="1:14" ht="25.5" x14ac:dyDescent="0.25">
      <c r="A419" s="261">
        <v>4</v>
      </c>
      <c r="B419" s="262"/>
      <c r="C419" s="263"/>
      <c r="D419" s="93" t="s">
        <v>21</v>
      </c>
      <c r="E419" s="116" t="e">
        <f>E420</f>
        <v>#DIV/0!</v>
      </c>
      <c r="F419" s="74">
        <f t="shared" ref="F419:H419" si="362">F420</f>
        <v>146.84</v>
      </c>
      <c r="G419" s="74">
        <f t="shared" si="362"/>
        <v>2000</v>
      </c>
      <c r="H419" s="74">
        <f t="shared" si="362"/>
        <v>1735.44</v>
      </c>
      <c r="I419" s="74">
        <f t="shared" ref="I419:I436" si="363">H419/G419*100</f>
        <v>86.77</v>
      </c>
    </row>
    <row r="420" spans="1:14" ht="25.5" x14ac:dyDescent="0.25">
      <c r="A420" s="252">
        <v>42</v>
      </c>
      <c r="B420" s="253"/>
      <c r="C420" s="254"/>
      <c r="D420" s="97" t="s">
        <v>98</v>
      </c>
      <c r="E420" s="117" t="e">
        <f>E422</f>
        <v>#DIV/0!</v>
      </c>
      <c r="F420" s="75">
        <f t="shared" ref="F420" si="364">F422</f>
        <v>146.84</v>
      </c>
      <c r="G420" s="75">
        <f t="shared" ref="G420:H420" si="365">G422</f>
        <v>2000</v>
      </c>
      <c r="H420" s="75">
        <f t="shared" si="365"/>
        <v>1735.44</v>
      </c>
      <c r="I420" s="75">
        <f t="shared" si="363"/>
        <v>86.77</v>
      </c>
    </row>
    <row r="421" spans="1:14" x14ac:dyDescent="0.25">
      <c r="A421" s="255" t="s">
        <v>366</v>
      </c>
      <c r="B421" s="256"/>
      <c r="C421" s="257"/>
      <c r="D421" s="198" t="s">
        <v>236</v>
      </c>
      <c r="E421" s="199" t="e">
        <f>SUM(E423:E546)</f>
        <v>#DIV/0!</v>
      </c>
      <c r="F421" s="199">
        <f t="shared" ref="F421:H421" si="366">F422</f>
        <v>146.84</v>
      </c>
      <c r="G421" s="199">
        <f t="shared" ref="G421" si="367">G422</f>
        <v>2000</v>
      </c>
      <c r="H421" s="199">
        <f t="shared" si="366"/>
        <v>1735.44</v>
      </c>
      <c r="I421" s="199">
        <f t="shared" si="363"/>
        <v>86.77</v>
      </c>
    </row>
    <row r="422" spans="1:14" hidden="1" x14ac:dyDescent="0.25">
      <c r="A422" s="258" t="s">
        <v>170</v>
      </c>
      <c r="B422" s="259"/>
      <c r="C422" s="260"/>
      <c r="D422" s="98" t="s">
        <v>110</v>
      </c>
      <c r="E422" s="118" t="e">
        <f>11623.61/K1</f>
        <v>#DIV/0!</v>
      </c>
      <c r="F422" s="81">
        <v>146.84</v>
      </c>
      <c r="G422" s="81">
        <v>2000</v>
      </c>
      <c r="H422" s="81">
        <v>1735.44</v>
      </c>
      <c r="I422" s="81"/>
    </row>
    <row r="423" spans="1:14" ht="21" customHeight="1" x14ac:dyDescent="0.3">
      <c r="A423" s="267" t="s">
        <v>79</v>
      </c>
      <c r="B423" s="268"/>
      <c r="C423" s="269"/>
      <c r="D423" s="92" t="s">
        <v>231</v>
      </c>
      <c r="E423" s="114">
        <f>E424+E429</f>
        <v>0</v>
      </c>
      <c r="F423" s="72">
        <f t="shared" ref="F423" si="368">F424+F429</f>
        <v>1005.91</v>
      </c>
      <c r="G423" s="72">
        <f t="shared" ref="G423" si="369">G424+G429</f>
        <v>986.69</v>
      </c>
      <c r="H423" s="72">
        <f>H424+H429</f>
        <v>990.8</v>
      </c>
      <c r="I423" s="72">
        <f t="shared" si="363"/>
        <v>100.42</v>
      </c>
      <c r="J423" s="206" t="s">
        <v>409</v>
      </c>
    </row>
    <row r="424" spans="1:14" ht="15" customHeight="1" x14ac:dyDescent="0.25">
      <c r="A424" s="270" t="s">
        <v>125</v>
      </c>
      <c r="B424" s="271"/>
      <c r="C424" s="272"/>
      <c r="D424" s="84" t="s">
        <v>36</v>
      </c>
      <c r="E424" s="115">
        <f>E425</f>
        <v>0</v>
      </c>
      <c r="F424" s="73">
        <f t="shared" ref="F424:H425" si="370">F425</f>
        <v>2.06</v>
      </c>
      <c r="G424" s="73">
        <f t="shared" si="370"/>
        <v>1.26</v>
      </c>
      <c r="H424" s="73">
        <f t="shared" si="370"/>
        <v>5.37</v>
      </c>
      <c r="I424" s="73">
        <f t="shared" si="363"/>
        <v>426.19</v>
      </c>
      <c r="N424" s="40"/>
    </row>
    <row r="425" spans="1:14" x14ac:dyDescent="0.25">
      <c r="A425" s="261">
        <v>3</v>
      </c>
      <c r="B425" s="262"/>
      <c r="C425" s="263"/>
      <c r="D425" s="93" t="s">
        <v>19</v>
      </c>
      <c r="E425" s="116">
        <f>E426</f>
        <v>0</v>
      </c>
      <c r="F425" s="74">
        <f t="shared" si="370"/>
        <v>2.06</v>
      </c>
      <c r="G425" s="74">
        <f t="shared" si="370"/>
        <v>1.26</v>
      </c>
      <c r="H425" s="74">
        <f t="shared" si="370"/>
        <v>5.37</v>
      </c>
      <c r="I425" s="74">
        <f t="shared" si="363"/>
        <v>426.19</v>
      </c>
    </row>
    <row r="426" spans="1:14" x14ac:dyDescent="0.25">
      <c r="A426" s="252">
        <v>32</v>
      </c>
      <c r="B426" s="253"/>
      <c r="C426" s="254"/>
      <c r="D426" s="97" t="s">
        <v>32</v>
      </c>
      <c r="E426" s="117">
        <f>E428</f>
        <v>0</v>
      </c>
      <c r="F426" s="75">
        <f>F428</f>
        <v>2.06</v>
      </c>
      <c r="G426" s="75">
        <f>G428</f>
        <v>1.26</v>
      </c>
      <c r="H426" s="75">
        <f>H428</f>
        <v>5.37</v>
      </c>
      <c r="I426" s="75">
        <f t="shared" si="363"/>
        <v>426.19</v>
      </c>
    </row>
    <row r="427" spans="1:14" x14ac:dyDescent="0.25">
      <c r="A427" s="255" t="s">
        <v>311</v>
      </c>
      <c r="B427" s="256"/>
      <c r="C427" s="257"/>
      <c r="D427" s="198" t="s">
        <v>396</v>
      </c>
      <c r="E427" s="199" t="e">
        <f>SUM(E430:E545)</f>
        <v>#DIV/0!</v>
      </c>
      <c r="F427" s="199">
        <f>SUM(F428)</f>
        <v>2.06</v>
      </c>
      <c r="G427" s="199">
        <f>SUM(G428)</f>
        <v>1.26</v>
      </c>
      <c r="H427" s="199">
        <f>SUM(H428)</f>
        <v>5.37</v>
      </c>
      <c r="I427" s="199">
        <f t="shared" si="363"/>
        <v>426.19</v>
      </c>
    </row>
    <row r="428" spans="1:14" hidden="1" x14ac:dyDescent="0.25">
      <c r="A428" s="258" t="s">
        <v>177</v>
      </c>
      <c r="B428" s="259"/>
      <c r="C428" s="260"/>
      <c r="D428" s="98" t="s">
        <v>109</v>
      </c>
      <c r="E428" s="118"/>
      <c r="F428" s="81">
        <v>2.06</v>
      </c>
      <c r="G428" s="81">
        <v>1.26</v>
      </c>
      <c r="H428" s="81">
        <v>5.37</v>
      </c>
      <c r="I428" s="81"/>
    </row>
    <row r="429" spans="1:14" ht="15" customHeight="1" x14ac:dyDescent="0.25">
      <c r="A429" s="270" t="s">
        <v>135</v>
      </c>
      <c r="B429" s="271"/>
      <c r="C429" s="272"/>
      <c r="D429" s="84" t="s">
        <v>136</v>
      </c>
      <c r="E429" s="115">
        <f>E430+E453</f>
        <v>0</v>
      </c>
      <c r="F429" s="73">
        <f>F430+F453</f>
        <v>1003.85</v>
      </c>
      <c r="G429" s="73">
        <f>G430+G453</f>
        <v>985.43</v>
      </c>
      <c r="H429" s="73">
        <f>H430+H453</f>
        <v>985.43</v>
      </c>
      <c r="I429" s="73">
        <f t="shared" si="363"/>
        <v>100</v>
      </c>
    </row>
    <row r="430" spans="1:14" x14ac:dyDescent="0.25">
      <c r="A430" s="261">
        <v>3</v>
      </c>
      <c r="B430" s="262"/>
      <c r="C430" s="263"/>
      <c r="D430" s="93" t="s">
        <v>19</v>
      </c>
      <c r="E430" s="116">
        <f>E431+E434</f>
        <v>0</v>
      </c>
      <c r="F430" s="74">
        <f>F431+F434+F435</f>
        <v>1003.85</v>
      </c>
      <c r="G430" s="74">
        <f t="shared" ref="G430" si="371">G431+G434+G435</f>
        <v>985.43</v>
      </c>
      <c r="H430" s="74">
        <f>H431+H434+H435</f>
        <v>985.43</v>
      </c>
      <c r="I430" s="74">
        <f t="shared" si="363"/>
        <v>100</v>
      </c>
    </row>
    <row r="431" spans="1:14" x14ac:dyDescent="0.25">
      <c r="A431" s="252">
        <v>32</v>
      </c>
      <c r="B431" s="253"/>
      <c r="C431" s="254"/>
      <c r="D431" s="97" t="s">
        <v>32</v>
      </c>
      <c r="E431" s="117">
        <f>E433</f>
        <v>0</v>
      </c>
      <c r="F431" s="75">
        <f t="shared" ref="F431" si="372">F433</f>
        <v>0</v>
      </c>
      <c r="G431" s="75">
        <f t="shared" ref="G431:H431" si="373">G433</f>
        <v>0</v>
      </c>
      <c r="H431" s="75">
        <f t="shared" si="373"/>
        <v>0</v>
      </c>
      <c r="I431" s="75" t="e">
        <f t="shared" si="363"/>
        <v>#DIV/0!</v>
      </c>
    </row>
    <row r="432" spans="1:14" x14ac:dyDescent="0.25">
      <c r="A432" s="255" t="s">
        <v>311</v>
      </c>
      <c r="B432" s="256"/>
      <c r="C432" s="257"/>
      <c r="D432" s="198" t="s">
        <v>396</v>
      </c>
      <c r="E432" s="199" t="e">
        <f>SUM(E435:E550)</f>
        <v>#DIV/0!</v>
      </c>
      <c r="F432" s="199">
        <f>SUM(F433)</f>
        <v>0</v>
      </c>
      <c r="G432" s="199">
        <f>SUM(G433)</f>
        <v>0</v>
      </c>
      <c r="H432" s="199">
        <f>SUM(H433)</f>
        <v>0</v>
      </c>
      <c r="I432" s="199" t="e">
        <f t="shared" si="363"/>
        <v>#DIV/0!</v>
      </c>
    </row>
    <row r="433" spans="1:14" x14ac:dyDescent="0.25">
      <c r="A433" s="258" t="s">
        <v>177</v>
      </c>
      <c r="B433" s="259"/>
      <c r="C433" s="260"/>
      <c r="D433" s="98" t="s">
        <v>109</v>
      </c>
      <c r="E433" s="118">
        <v>0</v>
      </c>
      <c r="F433" s="81">
        <v>0</v>
      </c>
      <c r="G433" s="81">
        <v>0</v>
      </c>
      <c r="H433" s="81">
        <v>0</v>
      </c>
      <c r="I433" s="81"/>
    </row>
    <row r="434" spans="1:14" x14ac:dyDescent="0.25">
      <c r="A434" s="252">
        <v>38</v>
      </c>
      <c r="B434" s="253"/>
      <c r="C434" s="254"/>
      <c r="D434" s="97" t="s">
        <v>92</v>
      </c>
      <c r="E434" s="117">
        <v>0</v>
      </c>
      <c r="F434" s="75">
        <v>0</v>
      </c>
      <c r="G434" s="75">
        <v>0</v>
      </c>
      <c r="H434" s="75">
        <v>0</v>
      </c>
      <c r="I434" s="75" t="e">
        <f t="shared" si="363"/>
        <v>#DIV/0!</v>
      </c>
    </row>
    <row r="435" spans="1:14" x14ac:dyDescent="0.25">
      <c r="A435" s="252">
        <v>38</v>
      </c>
      <c r="B435" s="253"/>
      <c r="C435" s="254"/>
      <c r="D435" s="97" t="s">
        <v>237</v>
      </c>
      <c r="E435" s="117">
        <f>E437</f>
        <v>0</v>
      </c>
      <c r="F435" s="75">
        <f t="shared" ref="F435" si="374">F437</f>
        <v>1003.85</v>
      </c>
      <c r="G435" s="75">
        <f t="shared" ref="G435:H435" si="375">G437</f>
        <v>985.43</v>
      </c>
      <c r="H435" s="75">
        <f t="shared" si="375"/>
        <v>985.43</v>
      </c>
      <c r="I435" s="75">
        <f t="shared" si="363"/>
        <v>100</v>
      </c>
    </row>
    <row r="436" spans="1:14" x14ac:dyDescent="0.25">
      <c r="A436" s="255" t="s">
        <v>397</v>
      </c>
      <c r="B436" s="256"/>
      <c r="C436" s="257"/>
      <c r="D436" s="198" t="s">
        <v>96</v>
      </c>
      <c r="E436" s="199" t="e">
        <f>SUM(E454:E554)</f>
        <v>#DIV/0!</v>
      </c>
      <c r="F436" s="199">
        <f>SUM(F437)</f>
        <v>1003.85</v>
      </c>
      <c r="G436" s="199">
        <f>SUM(G437)</f>
        <v>985.43</v>
      </c>
      <c r="H436" s="199">
        <f>SUM(H437)</f>
        <v>985.43</v>
      </c>
      <c r="I436" s="199">
        <f t="shared" si="363"/>
        <v>100</v>
      </c>
    </row>
    <row r="437" spans="1:14" hidden="1" x14ac:dyDescent="0.25">
      <c r="A437" s="258" t="s">
        <v>238</v>
      </c>
      <c r="B437" s="259"/>
      <c r="C437" s="260"/>
      <c r="D437" s="98" t="s">
        <v>239</v>
      </c>
      <c r="E437" s="118">
        <v>0</v>
      </c>
      <c r="F437" s="81">
        <v>1003.85</v>
      </c>
      <c r="G437" s="81">
        <v>985.43</v>
      </c>
      <c r="H437" s="81">
        <v>985.43</v>
      </c>
      <c r="I437" s="81"/>
    </row>
    <row r="438" spans="1:14" ht="21" customHeight="1" x14ac:dyDescent="0.3">
      <c r="A438" s="267" t="s">
        <v>415</v>
      </c>
      <c r="B438" s="268"/>
      <c r="C438" s="269"/>
      <c r="D438" s="92" t="s">
        <v>422</v>
      </c>
      <c r="E438" s="114" t="e">
        <f>E439+E444</f>
        <v>#DIV/0!</v>
      </c>
      <c r="F438" s="72">
        <f t="shared" ref="F438:G438" si="376">F439+F444</f>
        <v>0</v>
      </c>
      <c r="G438" s="72">
        <f t="shared" si="376"/>
        <v>2826.4</v>
      </c>
      <c r="H438" s="72">
        <f>H439+H444</f>
        <v>2826.4</v>
      </c>
      <c r="I438" s="72">
        <f t="shared" ref="I438:I442" si="377">H438/G438*100</f>
        <v>100</v>
      </c>
      <c r="J438" s="206" t="s">
        <v>409</v>
      </c>
    </row>
    <row r="439" spans="1:14" ht="15" customHeight="1" x14ac:dyDescent="0.25">
      <c r="A439" s="270" t="s">
        <v>125</v>
      </c>
      <c r="B439" s="271"/>
      <c r="C439" s="272"/>
      <c r="D439" s="84" t="s">
        <v>36</v>
      </c>
      <c r="E439" s="115">
        <f>E440</f>
        <v>0</v>
      </c>
      <c r="F439" s="73">
        <f t="shared" ref="F439:H440" si="378">F440</f>
        <v>0</v>
      </c>
      <c r="G439" s="73">
        <f t="shared" si="378"/>
        <v>0</v>
      </c>
      <c r="H439" s="73">
        <f t="shared" si="378"/>
        <v>0</v>
      </c>
      <c r="I439" s="73" t="e">
        <f t="shared" si="377"/>
        <v>#DIV/0!</v>
      </c>
      <c r="N439" s="40"/>
    </row>
    <row r="440" spans="1:14" x14ac:dyDescent="0.25">
      <c r="A440" s="261">
        <v>3</v>
      </c>
      <c r="B440" s="262"/>
      <c r="C440" s="263"/>
      <c r="D440" s="208" t="s">
        <v>19</v>
      </c>
      <c r="E440" s="116">
        <f>E441</f>
        <v>0</v>
      </c>
      <c r="F440" s="74">
        <f t="shared" si="378"/>
        <v>0</v>
      </c>
      <c r="G440" s="74">
        <f t="shared" si="378"/>
        <v>0</v>
      </c>
      <c r="H440" s="74">
        <f t="shared" si="378"/>
        <v>0</v>
      </c>
      <c r="I440" s="74" t="e">
        <f t="shared" si="377"/>
        <v>#DIV/0!</v>
      </c>
    </row>
    <row r="441" spans="1:14" x14ac:dyDescent="0.25">
      <c r="A441" s="252">
        <v>32</v>
      </c>
      <c r="B441" s="253"/>
      <c r="C441" s="254"/>
      <c r="D441" s="97" t="s">
        <v>32</v>
      </c>
      <c r="E441" s="117">
        <f>E443</f>
        <v>0</v>
      </c>
      <c r="F441" s="75">
        <f>F443</f>
        <v>0</v>
      </c>
      <c r="G441" s="75">
        <f>G443</f>
        <v>0</v>
      </c>
      <c r="H441" s="75">
        <f>H443</f>
        <v>0</v>
      </c>
      <c r="I441" s="75" t="e">
        <f t="shared" si="377"/>
        <v>#DIV/0!</v>
      </c>
    </row>
    <row r="442" spans="1:14" x14ac:dyDescent="0.25">
      <c r="A442" s="255" t="s">
        <v>311</v>
      </c>
      <c r="B442" s="256"/>
      <c r="C442" s="257"/>
      <c r="D442" s="198" t="s">
        <v>396</v>
      </c>
      <c r="E442" s="199" t="e">
        <f>SUM(E445:E560)</f>
        <v>#DIV/0!</v>
      </c>
      <c r="F442" s="199">
        <f>SUM(F443)</f>
        <v>0</v>
      </c>
      <c r="G442" s="199">
        <f>SUM(G443)</f>
        <v>0</v>
      </c>
      <c r="H442" s="199">
        <f>SUM(H443)</f>
        <v>0</v>
      </c>
      <c r="I442" s="199" t="e">
        <f t="shared" si="377"/>
        <v>#DIV/0!</v>
      </c>
    </row>
    <row r="443" spans="1:14" hidden="1" x14ac:dyDescent="0.25">
      <c r="A443" s="258" t="s">
        <v>177</v>
      </c>
      <c r="B443" s="259"/>
      <c r="C443" s="260"/>
      <c r="D443" s="98" t="s">
        <v>109</v>
      </c>
      <c r="E443" s="118"/>
      <c r="F443" s="81">
        <v>0</v>
      </c>
      <c r="G443" s="81">
        <v>0</v>
      </c>
      <c r="H443" s="81">
        <v>0</v>
      </c>
      <c r="I443" s="81"/>
    </row>
    <row r="444" spans="1:14" ht="15" customHeight="1" x14ac:dyDescent="0.25">
      <c r="A444" s="270" t="s">
        <v>135</v>
      </c>
      <c r="B444" s="271"/>
      <c r="C444" s="272"/>
      <c r="D444" s="84" t="s">
        <v>136</v>
      </c>
      <c r="E444" s="115" t="e">
        <f>E445+E469</f>
        <v>#DIV/0!</v>
      </c>
      <c r="F444" s="73">
        <f>F445</f>
        <v>0</v>
      </c>
      <c r="G444" s="73">
        <f>G445+G469</f>
        <v>2826.4</v>
      </c>
      <c r="H444" s="73">
        <f>H445</f>
        <v>2826.4</v>
      </c>
      <c r="I444" s="73">
        <f t="shared" ref="I444:I447" si="379">H444/G444*100</f>
        <v>100</v>
      </c>
    </row>
    <row r="445" spans="1:14" x14ac:dyDescent="0.25">
      <c r="A445" s="261">
        <v>3</v>
      </c>
      <c r="B445" s="262"/>
      <c r="C445" s="263"/>
      <c r="D445" s="208" t="s">
        <v>19</v>
      </c>
      <c r="E445" s="116">
        <f>E446+E449</f>
        <v>0</v>
      </c>
      <c r="F445" s="74">
        <f>F446+F449+F450</f>
        <v>0</v>
      </c>
      <c r="G445" s="74">
        <f t="shared" ref="G445" si="380">G446+G449+G450</f>
        <v>2826.4</v>
      </c>
      <c r="H445" s="74">
        <f>H446+H449+H450</f>
        <v>2826.4</v>
      </c>
      <c r="I445" s="74">
        <f t="shared" si="379"/>
        <v>100</v>
      </c>
    </row>
    <row r="446" spans="1:14" x14ac:dyDescent="0.25">
      <c r="A446" s="252">
        <v>32</v>
      </c>
      <c r="B446" s="253"/>
      <c r="C446" s="254"/>
      <c r="D446" s="97" t="s">
        <v>32</v>
      </c>
      <c r="E446" s="117">
        <f>E448</f>
        <v>0</v>
      </c>
      <c r="F446" s="75">
        <f t="shared" ref="F446:H446" si="381">F448</f>
        <v>0</v>
      </c>
      <c r="G446" s="75">
        <f t="shared" si="381"/>
        <v>2826.4</v>
      </c>
      <c r="H446" s="75">
        <f t="shared" si="381"/>
        <v>2826.4</v>
      </c>
      <c r="I446" s="75">
        <f t="shared" si="379"/>
        <v>100</v>
      </c>
    </row>
    <row r="447" spans="1:14" x14ac:dyDescent="0.25">
      <c r="A447" s="255" t="s">
        <v>311</v>
      </c>
      <c r="B447" s="256"/>
      <c r="C447" s="257"/>
      <c r="D447" s="198" t="s">
        <v>396</v>
      </c>
      <c r="E447" s="199" t="e">
        <f>SUM(E450:E565)</f>
        <v>#DIV/0!</v>
      </c>
      <c r="F447" s="199">
        <f>SUM(F448)</f>
        <v>0</v>
      </c>
      <c r="G447" s="199">
        <f>SUM(G448)</f>
        <v>2826.4</v>
      </c>
      <c r="H447" s="199">
        <f>SUM(H448)</f>
        <v>2826.4</v>
      </c>
      <c r="I447" s="199">
        <f t="shared" si="379"/>
        <v>100</v>
      </c>
    </row>
    <row r="448" spans="1:14" hidden="1" x14ac:dyDescent="0.25">
      <c r="A448" s="258" t="s">
        <v>177</v>
      </c>
      <c r="B448" s="259"/>
      <c r="C448" s="260"/>
      <c r="D448" s="98" t="s">
        <v>109</v>
      </c>
      <c r="E448" s="118">
        <v>0</v>
      </c>
      <c r="F448" s="81">
        <v>0</v>
      </c>
      <c r="G448" s="81">
        <v>2826.4</v>
      </c>
      <c r="H448" s="81">
        <v>2826.4</v>
      </c>
      <c r="I448" s="81"/>
    </row>
    <row r="449" spans="1:11" x14ac:dyDescent="0.25">
      <c r="A449" s="252">
        <v>38</v>
      </c>
      <c r="B449" s="253"/>
      <c r="C449" s="254"/>
      <c r="D449" s="97" t="s">
        <v>92</v>
      </c>
      <c r="E449" s="117">
        <v>0</v>
      </c>
      <c r="F449" s="75">
        <v>0</v>
      </c>
      <c r="G449" s="75">
        <v>0</v>
      </c>
      <c r="H449" s="75">
        <v>0</v>
      </c>
      <c r="I449" s="75" t="e">
        <f t="shared" ref="I449:I451" si="382">H449/G449*100</f>
        <v>#DIV/0!</v>
      </c>
    </row>
    <row r="450" spans="1:11" x14ac:dyDescent="0.25">
      <c r="A450" s="252">
        <v>38</v>
      </c>
      <c r="B450" s="253"/>
      <c r="C450" s="254"/>
      <c r="D450" s="97" t="s">
        <v>237</v>
      </c>
      <c r="E450" s="117">
        <f>E452</f>
        <v>0</v>
      </c>
      <c r="F450" s="75">
        <f t="shared" ref="F450:H450" si="383">F452</f>
        <v>0</v>
      </c>
      <c r="G450" s="75">
        <f t="shared" si="383"/>
        <v>0</v>
      </c>
      <c r="H450" s="75">
        <f t="shared" si="383"/>
        <v>0</v>
      </c>
      <c r="I450" s="75" t="e">
        <f t="shared" si="382"/>
        <v>#DIV/0!</v>
      </c>
    </row>
    <row r="451" spans="1:11" x14ac:dyDescent="0.25">
      <c r="A451" s="255" t="s">
        <v>397</v>
      </c>
      <c r="B451" s="256"/>
      <c r="C451" s="257"/>
      <c r="D451" s="198" t="s">
        <v>96</v>
      </c>
      <c r="E451" s="199" t="e">
        <f>SUM(E470:E569)</f>
        <v>#DIV/0!</v>
      </c>
      <c r="F451" s="199">
        <f>SUM(F452)</f>
        <v>0</v>
      </c>
      <c r="G451" s="199">
        <f>SUM(G452)</f>
        <v>0</v>
      </c>
      <c r="H451" s="199">
        <f>SUM(H452)</f>
        <v>0</v>
      </c>
      <c r="I451" s="199" t="e">
        <f t="shared" si="382"/>
        <v>#DIV/0!</v>
      </c>
    </row>
    <row r="452" spans="1:11" hidden="1" x14ac:dyDescent="0.25">
      <c r="A452" s="258" t="s">
        <v>238</v>
      </c>
      <c r="B452" s="259"/>
      <c r="C452" s="260"/>
      <c r="D452" s="98" t="s">
        <v>239</v>
      </c>
      <c r="E452" s="118">
        <v>0</v>
      </c>
      <c r="F452" s="81">
        <v>0</v>
      </c>
      <c r="G452" s="81">
        <v>0</v>
      </c>
      <c r="H452" s="81">
        <v>0</v>
      </c>
      <c r="I452" s="81"/>
    </row>
    <row r="453" spans="1:11" x14ac:dyDescent="0.25">
      <c r="F453" s="70"/>
      <c r="H453" s="70"/>
    </row>
    <row r="454" spans="1:11" x14ac:dyDescent="0.25">
      <c r="A454" s="80" t="s">
        <v>217</v>
      </c>
      <c r="B454" s="80"/>
      <c r="C454" s="80"/>
      <c r="D454" s="80"/>
      <c r="E454" s="108" t="s">
        <v>218</v>
      </c>
      <c r="F454" t="s">
        <v>218</v>
      </c>
      <c r="G454" s="80"/>
      <c r="H454" s="133" t="s">
        <v>219</v>
      </c>
      <c r="I454" s="80"/>
    </row>
    <row r="455" spans="1:11" x14ac:dyDescent="0.25">
      <c r="A455" s="80" t="s">
        <v>220</v>
      </c>
      <c r="B455" s="80"/>
      <c r="C455" s="80"/>
      <c r="D455" s="80"/>
      <c r="E455" s="108" t="s">
        <v>221</v>
      </c>
      <c r="F455" t="s">
        <v>221</v>
      </c>
      <c r="G455" s="80"/>
      <c r="H455" t="s">
        <v>222</v>
      </c>
      <c r="I455" s="80"/>
    </row>
    <row r="456" spans="1:11" x14ac:dyDescent="0.25">
      <c r="A456" t="s">
        <v>416</v>
      </c>
      <c r="F456" s="70"/>
      <c r="H456" s="70"/>
    </row>
    <row r="457" spans="1:11" hidden="1" x14ac:dyDescent="0.25">
      <c r="F457" s="70"/>
      <c r="H457" s="70"/>
    </row>
    <row r="458" spans="1:11" hidden="1" x14ac:dyDescent="0.25">
      <c r="F458" s="70"/>
      <c r="H458" s="70"/>
    </row>
    <row r="459" spans="1:11" hidden="1" x14ac:dyDescent="0.25">
      <c r="F459" s="70"/>
      <c r="H459" s="70"/>
    </row>
    <row r="460" spans="1:11" hidden="1" x14ac:dyDescent="0.25">
      <c r="A460" s="67">
        <v>31</v>
      </c>
      <c r="D460" s="67" t="s">
        <v>20</v>
      </c>
      <c r="E460" s="109" t="e">
        <f>SUMIF($A$6:$A$453,A460,$E$6:$F$453)</f>
        <v>#DIV/0!</v>
      </c>
      <c r="F460" s="134">
        <f t="shared" ref="F460:F467" si="384">SUMIF($A$6:$A$453,A460,$F$6:$F$453)</f>
        <v>1567425.58</v>
      </c>
      <c r="G460" s="40">
        <f t="shared" ref="G460:G467" si="385">SUMIF($A$6:$A$453,A460,$G$6:$G$453)</f>
        <v>1683604.33</v>
      </c>
      <c r="H460" s="134">
        <f t="shared" ref="H460:H467" si="386">SUMIF($A$6:$A$453,A460,$H$6:$H$453)</f>
        <v>1912971.83</v>
      </c>
      <c r="I460" s="40"/>
    </row>
    <row r="461" spans="1:11" hidden="1" x14ac:dyDescent="0.25">
      <c r="A461" s="67">
        <v>32</v>
      </c>
      <c r="D461" s="67" t="s">
        <v>32</v>
      </c>
      <c r="E461" s="109" t="e">
        <f>SUMIF($A$6:$A$453,A461,$E$6:$E$453)</f>
        <v>#DIV/0!</v>
      </c>
      <c r="F461" s="134">
        <f t="shared" si="384"/>
        <v>265271.49</v>
      </c>
      <c r="G461" s="40">
        <f t="shared" si="385"/>
        <v>344654.69</v>
      </c>
      <c r="H461" s="134">
        <f t="shared" si="386"/>
        <v>353276.91</v>
      </c>
      <c r="I461" s="40"/>
      <c r="K461" s="40"/>
    </row>
    <row r="462" spans="1:11" hidden="1" x14ac:dyDescent="0.25">
      <c r="A462" s="67">
        <v>33</v>
      </c>
      <c r="E462" s="109"/>
      <c r="F462" s="134">
        <f t="shared" si="384"/>
        <v>0</v>
      </c>
      <c r="G462" s="40">
        <f t="shared" si="385"/>
        <v>0</v>
      </c>
      <c r="H462" s="134">
        <f t="shared" si="386"/>
        <v>0</v>
      </c>
      <c r="I462" s="40"/>
      <c r="K462" s="40"/>
    </row>
    <row r="463" spans="1:11" hidden="1" x14ac:dyDescent="0.25">
      <c r="A463" s="67">
        <v>34</v>
      </c>
      <c r="D463" s="67" t="s">
        <v>92</v>
      </c>
      <c r="E463" s="109" t="e">
        <f>SUMIF($A$6:$A$453,A463,$E$6:$E$453)</f>
        <v>#DIV/0!</v>
      </c>
      <c r="F463" s="134">
        <f t="shared" si="384"/>
        <v>1057.1300000000001</v>
      </c>
      <c r="G463" s="40">
        <f t="shared" si="385"/>
        <v>1165</v>
      </c>
      <c r="H463" s="134">
        <f t="shared" si="386"/>
        <v>1041.8699999999999</v>
      </c>
      <c r="I463" s="40"/>
    </row>
    <row r="464" spans="1:11" hidden="1" x14ac:dyDescent="0.25">
      <c r="A464" s="67">
        <v>37</v>
      </c>
      <c r="D464" s="67" t="s">
        <v>149</v>
      </c>
      <c r="E464" s="109" t="e">
        <f>SUMIF($A$6:$A$453,A464,$E$6:$E$453)</f>
        <v>#DIV/0!</v>
      </c>
      <c r="F464" s="134">
        <f t="shared" si="384"/>
        <v>537.92999999999995</v>
      </c>
      <c r="G464" s="40">
        <f t="shared" si="385"/>
        <v>0</v>
      </c>
      <c r="H464" s="134">
        <f t="shared" si="386"/>
        <v>232</v>
      </c>
      <c r="I464" s="40"/>
    </row>
    <row r="465" spans="1:10" hidden="1" x14ac:dyDescent="0.25">
      <c r="A465" s="67">
        <v>38</v>
      </c>
      <c r="D465" s="67" t="s">
        <v>97</v>
      </c>
      <c r="E465" s="109">
        <f>SUMIF($A$6:$A$453,A465,$E$6:$E$453)</f>
        <v>276</v>
      </c>
      <c r="F465" s="134">
        <f t="shared" si="384"/>
        <v>1383.85</v>
      </c>
      <c r="G465" s="40">
        <f t="shared" si="385"/>
        <v>985.43</v>
      </c>
      <c r="H465" s="134">
        <f t="shared" si="386"/>
        <v>985.43</v>
      </c>
      <c r="I465" s="40"/>
    </row>
    <row r="466" spans="1:10" hidden="1" x14ac:dyDescent="0.25">
      <c r="A466" s="67">
        <v>42</v>
      </c>
      <c r="D466" s="67" t="s">
        <v>150</v>
      </c>
      <c r="E466" s="109" t="e">
        <f>SUMIF($A$6:$A$453,A466,$E$6:$E$453)</f>
        <v>#DIV/0!</v>
      </c>
      <c r="F466" s="134">
        <f t="shared" si="384"/>
        <v>99688.53</v>
      </c>
      <c r="G466" s="40">
        <f t="shared" si="385"/>
        <v>10877.84</v>
      </c>
      <c r="H466" s="134">
        <f t="shared" si="386"/>
        <v>17564.38</v>
      </c>
      <c r="I466" s="40"/>
    </row>
    <row r="467" spans="1:10" hidden="1" x14ac:dyDescent="0.25">
      <c r="A467" s="67">
        <v>45</v>
      </c>
      <c r="D467" s="67" t="s">
        <v>150</v>
      </c>
      <c r="E467" s="109" t="e">
        <f>SUMIF($A$6:$A$453,A467,$E$6:$E$453)</f>
        <v>#DIV/0!</v>
      </c>
      <c r="F467" s="134">
        <f t="shared" si="384"/>
        <v>11027.1</v>
      </c>
      <c r="G467" s="40">
        <f t="shared" si="385"/>
        <v>0</v>
      </c>
      <c r="H467" s="134">
        <f t="shared" si="386"/>
        <v>0</v>
      </c>
      <c r="I467" s="40"/>
    </row>
    <row r="468" spans="1:10" hidden="1" x14ac:dyDescent="0.25">
      <c r="D468" s="69" t="s">
        <v>210</v>
      </c>
      <c r="E468" s="122" t="e">
        <f>SUM(E460:E467)</f>
        <v>#DIV/0!</v>
      </c>
      <c r="F468" s="78">
        <f>SUM(F460:F467)</f>
        <v>1946391.61</v>
      </c>
      <c r="G468" s="78">
        <f>SUM(G460:G467)</f>
        <v>2041287.29</v>
      </c>
      <c r="H468" s="78">
        <f>SUM(H460:H467)</f>
        <v>2286072.42</v>
      </c>
      <c r="I468" s="78">
        <f t="shared" ref="I468" si="387">SUM(I460:I467)</f>
        <v>0</v>
      </c>
      <c r="J468" s="40">
        <f>H468-H482</f>
        <v>0</v>
      </c>
    </row>
    <row r="469" spans="1:10" hidden="1" x14ac:dyDescent="0.25">
      <c r="A469" s="67" t="s">
        <v>129</v>
      </c>
      <c r="E469" s="109" t="e">
        <f>SUMIF($A$6:$A$453,A469,$E$6:$E$453)</f>
        <v>#DIV/0!</v>
      </c>
      <c r="F469" s="134">
        <f t="shared" ref="F469:F480" si="388">SUMIF($A$6:$A$453,A469,$F$6:$F$453)</f>
        <v>537.92999999999995</v>
      </c>
      <c r="G469" s="79">
        <f t="shared" ref="G469:G480" si="389">SUMIF($A$6:$A$453,A469,$G$6:$G$453)</f>
        <v>0</v>
      </c>
      <c r="H469" s="135">
        <f t="shared" ref="H469:H480" si="390">SUMIF($A$6:$A$453,A469,$H$6:$H$453)</f>
        <v>232</v>
      </c>
      <c r="I469" s="79"/>
    </row>
    <row r="470" spans="1:10" hidden="1" x14ac:dyDescent="0.25">
      <c r="A470" s="67" t="s">
        <v>112</v>
      </c>
      <c r="E470" s="109" t="e">
        <f>SUMIF($A$6:$A$453,A470,$E$6:$E$453)</f>
        <v>#DIV/0!</v>
      </c>
      <c r="F470" s="134">
        <f t="shared" si="388"/>
        <v>56996</v>
      </c>
      <c r="G470" s="79">
        <f t="shared" si="389"/>
        <v>61843</v>
      </c>
      <c r="H470" s="135">
        <f t="shared" si="390"/>
        <v>61653.32</v>
      </c>
      <c r="I470" s="79"/>
    </row>
    <row r="471" spans="1:10" hidden="1" x14ac:dyDescent="0.25">
      <c r="A471" s="67" t="s">
        <v>118</v>
      </c>
      <c r="E471" s="109" t="e">
        <f>SUMIF($A$6:$A$453,A471,$E$6:$E$453)</f>
        <v>#DIV/0!</v>
      </c>
      <c r="F471" s="134">
        <f t="shared" si="388"/>
        <v>126605.65</v>
      </c>
      <c r="G471" s="79">
        <f t="shared" si="389"/>
        <v>48720.19</v>
      </c>
      <c r="H471" s="135">
        <f t="shared" si="390"/>
        <v>92115.13</v>
      </c>
      <c r="I471" s="79"/>
    </row>
    <row r="472" spans="1:10" hidden="1" x14ac:dyDescent="0.25">
      <c r="A472" s="67" t="s">
        <v>214</v>
      </c>
      <c r="E472" s="109" t="e">
        <f>SUMIF($A$6:$A$453,A472,$E$6:$E$453)</f>
        <v>#DIV/0!</v>
      </c>
      <c r="F472" s="134">
        <f t="shared" si="388"/>
        <v>39533.5</v>
      </c>
      <c r="G472" s="79">
        <f t="shared" si="389"/>
        <v>0</v>
      </c>
      <c r="H472" s="135">
        <f t="shared" si="390"/>
        <v>0</v>
      </c>
      <c r="I472" s="79"/>
    </row>
    <row r="473" spans="1:10" hidden="1" x14ac:dyDescent="0.25">
      <c r="A473" s="67" t="s">
        <v>419</v>
      </c>
      <c r="E473" s="109"/>
      <c r="F473" s="134">
        <f t="shared" si="388"/>
        <v>15439.62</v>
      </c>
      <c r="G473" s="79">
        <f t="shared" si="389"/>
        <v>42551.51</v>
      </c>
      <c r="H473" s="135">
        <f t="shared" si="390"/>
        <v>61266.11</v>
      </c>
      <c r="I473" s="79"/>
    </row>
    <row r="474" spans="1:10" hidden="1" x14ac:dyDescent="0.25">
      <c r="A474" s="67" t="s">
        <v>125</v>
      </c>
      <c r="E474" s="109" t="e">
        <f t="shared" ref="E474:E480" si="391">SUMIF($A$6:$A$453,A474,$E$6:$E$453)</f>
        <v>#DIV/0!</v>
      </c>
      <c r="F474" s="134">
        <f t="shared" si="388"/>
        <v>4042.58</v>
      </c>
      <c r="G474" s="79">
        <f t="shared" si="389"/>
        <v>5211.26</v>
      </c>
      <c r="H474" s="135">
        <f t="shared" si="390"/>
        <v>341.34</v>
      </c>
      <c r="I474" s="79"/>
    </row>
    <row r="475" spans="1:10" hidden="1" x14ac:dyDescent="0.25">
      <c r="A475" s="67" t="s">
        <v>132</v>
      </c>
      <c r="E475" s="109">
        <f t="shared" si="391"/>
        <v>0</v>
      </c>
      <c r="F475" s="134">
        <f t="shared" si="388"/>
        <v>0</v>
      </c>
      <c r="G475" s="79">
        <f t="shared" si="389"/>
        <v>0</v>
      </c>
      <c r="H475" s="135">
        <f t="shared" si="390"/>
        <v>0</v>
      </c>
      <c r="I475" s="79"/>
    </row>
    <row r="476" spans="1:10" hidden="1" x14ac:dyDescent="0.25">
      <c r="A476" s="67" t="s">
        <v>133</v>
      </c>
      <c r="E476" s="109" t="e">
        <f t="shared" si="391"/>
        <v>#DIV/0!</v>
      </c>
      <c r="F476" s="134">
        <f t="shared" si="388"/>
        <v>19384.53</v>
      </c>
      <c r="G476" s="79">
        <f t="shared" si="389"/>
        <v>46610</v>
      </c>
      <c r="H476" s="135">
        <f t="shared" si="390"/>
        <v>32089.25</v>
      </c>
      <c r="I476" s="79"/>
    </row>
    <row r="477" spans="1:10" hidden="1" x14ac:dyDescent="0.25">
      <c r="A477" s="67" t="s">
        <v>135</v>
      </c>
      <c r="E477" s="109" t="e">
        <f t="shared" si="391"/>
        <v>#DIV/0!</v>
      </c>
      <c r="F477" s="134">
        <f t="shared" si="388"/>
        <v>1678017.24</v>
      </c>
      <c r="G477" s="79">
        <f t="shared" si="389"/>
        <v>1834851.33</v>
      </c>
      <c r="H477" s="135">
        <f t="shared" si="390"/>
        <v>2038015.27</v>
      </c>
      <c r="I477" s="79"/>
    </row>
    <row r="478" spans="1:10" hidden="1" x14ac:dyDescent="0.25">
      <c r="A478" s="67" t="s">
        <v>203</v>
      </c>
      <c r="E478" s="109" t="e">
        <f t="shared" si="391"/>
        <v>#DIV/0!</v>
      </c>
      <c r="F478" s="134">
        <f t="shared" si="388"/>
        <v>5834.56</v>
      </c>
      <c r="G478" s="79">
        <f t="shared" si="389"/>
        <v>1500</v>
      </c>
      <c r="H478" s="135">
        <f t="shared" si="390"/>
        <v>360</v>
      </c>
      <c r="I478" s="79"/>
    </row>
    <row r="479" spans="1:10" hidden="1" x14ac:dyDescent="0.25">
      <c r="A479" s="70" t="s">
        <v>380</v>
      </c>
      <c r="E479" s="109" t="e">
        <f t="shared" si="391"/>
        <v>#DIV/0!</v>
      </c>
      <c r="F479" s="134">
        <f t="shared" si="388"/>
        <v>0</v>
      </c>
      <c r="G479" s="79">
        <f t="shared" si="389"/>
        <v>0</v>
      </c>
      <c r="H479" s="135">
        <f t="shared" si="390"/>
        <v>0</v>
      </c>
      <c r="I479" s="79"/>
    </row>
    <row r="480" spans="1:10" hidden="1" x14ac:dyDescent="0.25">
      <c r="A480" s="70" t="s">
        <v>180</v>
      </c>
      <c r="E480" s="109">
        <f t="shared" si="391"/>
        <v>0</v>
      </c>
      <c r="F480" s="134">
        <f t="shared" si="388"/>
        <v>0</v>
      </c>
      <c r="G480" s="79">
        <f t="shared" si="389"/>
        <v>0</v>
      </c>
      <c r="H480" s="135">
        <f t="shared" si="390"/>
        <v>0</v>
      </c>
      <c r="I480" s="79"/>
    </row>
    <row r="481" spans="1:9" hidden="1" x14ac:dyDescent="0.25">
      <c r="F481" s="136">
        <v>0</v>
      </c>
      <c r="G481" s="68">
        <v>0</v>
      </c>
      <c r="H481" s="136">
        <v>0</v>
      </c>
      <c r="I481" s="68"/>
    </row>
    <row r="482" spans="1:9" hidden="1" x14ac:dyDescent="0.25">
      <c r="D482" s="69" t="s">
        <v>211</v>
      </c>
      <c r="E482" s="122" t="e">
        <f>SUM(E469:E480)</f>
        <v>#DIV/0!</v>
      </c>
      <c r="F482" s="78">
        <f t="shared" ref="F482" si="392">SUM(F469:F481)</f>
        <v>1946391.61</v>
      </c>
      <c r="G482" s="78">
        <f t="shared" ref="G482:I482" si="393">SUM(G469:G481)</f>
        <v>2041287.29</v>
      </c>
      <c r="H482" s="78">
        <f t="shared" si="393"/>
        <v>2286072.42</v>
      </c>
      <c r="I482" s="78">
        <f t="shared" si="393"/>
        <v>0</v>
      </c>
    </row>
    <row r="483" spans="1:9" hidden="1" x14ac:dyDescent="0.25">
      <c r="F483" s="70"/>
      <c r="G483" s="68"/>
      <c r="H483" s="70"/>
    </row>
    <row r="484" spans="1:9" hidden="1" x14ac:dyDescent="0.25">
      <c r="A484" s="67" t="s">
        <v>433</v>
      </c>
      <c r="F484" s="70"/>
      <c r="G484" s="68">
        <f>G469+G471+G472+G473+G479+G480</f>
        <v>91271.7</v>
      </c>
      <c r="H484" s="70"/>
    </row>
    <row r="485" spans="1:9" hidden="1" x14ac:dyDescent="0.25">
      <c r="A485" s="67" t="s">
        <v>129</v>
      </c>
      <c r="D485" s="67" t="s">
        <v>20</v>
      </c>
      <c r="E485" s="109">
        <v>0</v>
      </c>
      <c r="F485" s="70"/>
      <c r="G485" s="68"/>
      <c r="H485" s="70"/>
    </row>
    <row r="486" spans="1:9" hidden="1" x14ac:dyDescent="0.25">
      <c r="A486" s="67" t="s">
        <v>129</v>
      </c>
      <c r="D486" s="67" t="s">
        <v>32</v>
      </c>
      <c r="E486" s="109">
        <v>0</v>
      </c>
      <c r="F486" s="70"/>
      <c r="G486" s="68"/>
      <c r="H486" s="70"/>
    </row>
    <row r="487" spans="1:9" hidden="1" x14ac:dyDescent="0.25">
      <c r="A487" s="67" t="s">
        <v>129</v>
      </c>
      <c r="D487" s="67" t="s">
        <v>92</v>
      </c>
      <c r="E487" s="109">
        <v>0</v>
      </c>
      <c r="F487" s="70"/>
      <c r="G487" s="68"/>
      <c r="H487" s="70"/>
    </row>
    <row r="488" spans="1:9" hidden="1" x14ac:dyDescent="0.25">
      <c r="A488" s="67" t="s">
        <v>129</v>
      </c>
      <c r="D488" s="67" t="s">
        <v>149</v>
      </c>
      <c r="E488" s="109">
        <v>0</v>
      </c>
      <c r="F488" s="70"/>
      <c r="H488" s="70"/>
    </row>
    <row r="489" spans="1:9" hidden="1" x14ac:dyDescent="0.25">
      <c r="A489" s="67" t="s">
        <v>129</v>
      </c>
      <c r="D489" s="67" t="s">
        <v>97</v>
      </c>
      <c r="E489" s="109">
        <v>0</v>
      </c>
      <c r="F489" s="70"/>
      <c r="H489" s="70"/>
    </row>
    <row r="490" spans="1:9" hidden="1" x14ac:dyDescent="0.25">
      <c r="A490" s="67" t="s">
        <v>129</v>
      </c>
      <c r="D490" s="67" t="s">
        <v>150</v>
      </c>
      <c r="E490" s="109">
        <v>0</v>
      </c>
      <c r="F490" s="70"/>
      <c r="H490" s="70"/>
    </row>
    <row r="491" spans="1:9" hidden="1" x14ac:dyDescent="0.25">
      <c r="E491" s="109"/>
      <c r="F491" s="70"/>
      <c r="H491" s="70"/>
    </row>
    <row r="492" spans="1:9" hidden="1" x14ac:dyDescent="0.25">
      <c r="A492" s="67" t="s">
        <v>112</v>
      </c>
      <c r="D492" s="67" t="s">
        <v>20</v>
      </c>
      <c r="E492" s="109">
        <v>0</v>
      </c>
      <c r="F492" s="70"/>
      <c r="H492" s="70"/>
    </row>
    <row r="493" spans="1:9" hidden="1" x14ac:dyDescent="0.25">
      <c r="A493" s="67" t="s">
        <v>112</v>
      </c>
      <c r="D493" s="67" t="s">
        <v>32</v>
      </c>
      <c r="E493" s="109">
        <v>0</v>
      </c>
      <c r="F493" s="70"/>
      <c r="H493" s="70"/>
    </row>
    <row r="494" spans="1:9" hidden="1" x14ac:dyDescent="0.25">
      <c r="A494" s="67" t="s">
        <v>112</v>
      </c>
      <c r="D494" s="67" t="s">
        <v>92</v>
      </c>
      <c r="E494" s="109">
        <v>0</v>
      </c>
      <c r="F494" s="70"/>
      <c r="H494" s="70"/>
    </row>
    <row r="495" spans="1:9" hidden="1" x14ac:dyDescent="0.25">
      <c r="A495" s="67" t="s">
        <v>112</v>
      </c>
      <c r="D495" s="67" t="s">
        <v>149</v>
      </c>
      <c r="E495" s="109">
        <v>0</v>
      </c>
      <c r="F495" s="70"/>
      <c r="H495" s="70"/>
    </row>
    <row r="496" spans="1:9" hidden="1" x14ac:dyDescent="0.25">
      <c r="A496" s="67" t="s">
        <v>112</v>
      </c>
      <c r="D496" s="67" t="s">
        <v>97</v>
      </c>
      <c r="E496" s="109">
        <v>0</v>
      </c>
      <c r="F496" s="70"/>
      <c r="H496" s="70"/>
    </row>
    <row r="497" spans="1:11" hidden="1" x14ac:dyDescent="0.25">
      <c r="A497" s="67" t="s">
        <v>112</v>
      </c>
      <c r="D497" s="67" t="s">
        <v>150</v>
      </c>
      <c r="E497" s="109">
        <v>0</v>
      </c>
      <c r="F497" s="70"/>
      <c r="H497" s="70"/>
    </row>
    <row r="498" spans="1:11" hidden="1" x14ac:dyDescent="0.25">
      <c r="E498" s="109"/>
      <c r="F498" s="70"/>
      <c r="H498" s="70"/>
    </row>
    <row r="499" spans="1:11" hidden="1" x14ac:dyDescent="0.25">
      <c r="A499" s="67">
        <v>3111</v>
      </c>
      <c r="E499" s="109"/>
      <c r="F499" s="134">
        <f>SUMIF($A$6:$A$453,#REF!,$H$6:$H$453)</f>
        <v>0</v>
      </c>
      <c r="G499" s="110">
        <f t="shared" ref="G499:G508" si="394">SUMIF($A$6:$A$453,A499,$G$6:$G$453)</f>
        <v>1398352.8</v>
      </c>
      <c r="H499" s="134">
        <f t="shared" ref="H499:H529" si="395">SUMIF($A$6:$A$453,A499,$H$6:$H$453)</f>
        <v>1593778.97</v>
      </c>
      <c r="I499" s="40">
        <f t="shared" ref="I499:I529" si="396">SUMIF($A$6:$A$453,A499,$I$6:$I$453)</f>
        <v>0</v>
      </c>
    </row>
    <row r="500" spans="1:11" hidden="1" x14ac:dyDescent="0.25">
      <c r="A500" s="67">
        <v>3121</v>
      </c>
      <c r="E500" s="109"/>
      <c r="F500" s="137">
        <f>SUMIF($A$6:$A$453,#REF!,$H$6:$H$453)</f>
        <v>0</v>
      </c>
      <c r="G500" s="110">
        <f t="shared" si="394"/>
        <v>54500</v>
      </c>
      <c r="H500" s="137">
        <f t="shared" si="395"/>
        <v>56533.39</v>
      </c>
      <c r="I500" s="109">
        <f t="shared" si="396"/>
        <v>0</v>
      </c>
      <c r="K500" s="40"/>
    </row>
    <row r="501" spans="1:11" hidden="1" x14ac:dyDescent="0.25">
      <c r="A501" s="67">
        <v>3132</v>
      </c>
      <c r="E501" s="109"/>
      <c r="F501" s="137">
        <f>SUMIF($A$6:$A$453,#REF!,$H$6:$H$453)</f>
        <v>0</v>
      </c>
      <c r="G501" s="109">
        <f t="shared" si="394"/>
        <v>230746.53</v>
      </c>
      <c r="H501" s="137">
        <f t="shared" si="395"/>
        <v>262643.26</v>
      </c>
      <c r="I501" s="109">
        <f t="shared" si="396"/>
        <v>0</v>
      </c>
    </row>
    <row r="502" spans="1:11" hidden="1" x14ac:dyDescent="0.25">
      <c r="A502" s="67">
        <v>3133</v>
      </c>
      <c r="E502" s="109"/>
      <c r="F502" s="137">
        <f>SUMIF($A$6:$A$453,#REF!,$H$6:$H$453)</f>
        <v>0</v>
      </c>
      <c r="G502" s="110">
        <f t="shared" si="394"/>
        <v>5</v>
      </c>
      <c r="H502" s="137">
        <f t="shared" si="395"/>
        <v>0</v>
      </c>
      <c r="I502" s="109">
        <f t="shared" si="396"/>
        <v>0</v>
      </c>
    </row>
    <row r="503" spans="1:11" hidden="1" x14ac:dyDescent="0.25">
      <c r="E503" s="109"/>
      <c r="F503" s="137">
        <f>SUMIF($A$6:$A$453,#REF!,$H$6:$H$453)</f>
        <v>0</v>
      </c>
      <c r="G503" s="110">
        <f t="shared" si="394"/>
        <v>0</v>
      </c>
      <c r="H503" s="137">
        <f t="shared" si="395"/>
        <v>0</v>
      </c>
      <c r="I503" s="109">
        <f t="shared" si="396"/>
        <v>0</v>
      </c>
    </row>
    <row r="504" spans="1:11" hidden="1" x14ac:dyDescent="0.25">
      <c r="A504" s="67">
        <v>3211</v>
      </c>
      <c r="E504" s="109"/>
      <c r="F504" s="134">
        <f>SUMIF($A$6:$A$453,#REF!,$H$6:$H$453)</f>
        <v>0</v>
      </c>
      <c r="G504" s="110">
        <f t="shared" si="394"/>
        <v>9170</v>
      </c>
      <c r="H504" s="134">
        <f t="shared" si="395"/>
        <v>8641.23</v>
      </c>
      <c r="I504" s="40">
        <f t="shared" si="396"/>
        <v>0</v>
      </c>
    </row>
    <row r="505" spans="1:11" hidden="1" x14ac:dyDescent="0.25">
      <c r="A505" s="67">
        <v>3212</v>
      </c>
      <c r="E505" s="109"/>
      <c r="F505" s="134">
        <f>SUMIF($A$6:$A$453,#REF!,$H$6:$H$453)</f>
        <v>0</v>
      </c>
      <c r="G505" s="110">
        <f t="shared" si="394"/>
        <v>49084.69</v>
      </c>
      <c r="H505" s="134">
        <f t="shared" si="395"/>
        <v>43481.52</v>
      </c>
      <c r="I505" s="40">
        <f t="shared" si="396"/>
        <v>0</v>
      </c>
    </row>
    <row r="506" spans="1:11" hidden="1" x14ac:dyDescent="0.25">
      <c r="A506" s="67">
        <v>3213</v>
      </c>
      <c r="E506" s="109"/>
      <c r="F506" s="137">
        <f>SUMIF($A$6:$A$453,#REF!,$H$6:$H$453)</f>
        <v>0</v>
      </c>
      <c r="G506" s="110">
        <f t="shared" si="394"/>
        <v>1650</v>
      </c>
      <c r="H506" s="137">
        <f t="shared" si="395"/>
        <v>913.6</v>
      </c>
      <c r="I506" s="109">
        <f t="shared" si="396"/>
        <v>0</v>
      </c>
      <c r="K506" s="40"/>
    </row>
    <row r="507" spans="1:11" hidden="1" x14ac:dyDescent="0.25">
      <c r="A507" s="67">
        <v>3214</v>
      </c>
      <c r="E507" s="109"/>
      <c r="F507" s="137">
        <f>SUMIF($A$6:$A$453,#REF!,$H$6:$H$453)</f>
        <v>0</v>
      </c>
      <c r="G507" s="109">
        <f t="shared" si="394"/>
        <v>200</v>
      </c>
      <c r="H507" s="137">
        <f t="shared" si="395"/>
        <v>0</v>
      </c>
      <c r="I507" s="109">
        <f t="shared" si="396"/>
        <v>0</v>
      </c>
    </row>
    <row r="508" spans="1:11" hidden="1" x14ac:dyDescent="0.25">
      <c r="A508" s="67">
        <v>3221</v>
      </c>
      <c r="E508" s="109"/>
      <c r="F508" s="137">
        <f>SUMIF($A$6:$A$453,#REF!,$H$6:$H$453)</f>
        <v>0</v>
      </c>
      <c r="G508" s="110">
        <f t="shared" si="394"/>
        <v>37846.660000000003</v>
      </c>
      <c r="H508" s="137">
        <f t="shared" si="395"/>
        <v>52543.78</v>
      </c>
      <c r="I508" s="109">
        <f t="shared" si="396"/>
        <v>0</v>
      </c>
    </row>
    <row r="509" spans="1:11" hidden="1" x14ac:dyDescent="0.25">
      <c r="A509" s="67">
        <v>3222</v>
      </c>
      <c r="E509" s="109"/>
      <c r="F509" s="137">
        <f>SUMIF($A$6:$A$453,#REF!,$H$6:$H$453)</f>
        <v>0</v>
      </c>
      <c r="G509" s="110">
        <f>SUMIF($A$6:$A$453,A509,$G$6:$G$453)-500</f>
        <v>136525.5</v>
      </c>
      <c r="H509" s="137">
        <f t="shared" si="395"/>
        <v>118730.96</v>
      </c>
      <c r="I509" s="109">
        <f t="shared" si="396"/>
        <v>0</v>
      </c>
    </row>
    <row r="510" spans="1:11" hidden="1" x14ac:dyDescent="0.25">
      <c r="A510" s="67">
        <v>3223</v>
      </c>
      <c r="E510" s="109"/>
      <c r="F510" s="137">
        <f>SUMIF($A$6:$A$453,#REF!,$H$6:$H$453)</f>
        <v>0</v>
      </c>
      <c r="G510" s="110">
        <f t="shared" ref="G510:G529" si="397">SUMIF($A$6:$A$453,A510,$G$6:$G$453)</f>
        <v>17150</v>
      </c>
      <c r="H510" s="137">
        <f t="shared" si="395"/>
        <v>16285.91</v>
      </c>
      <c r="I510" s="109">
        <f t="shared" si="396"/>
        <v>0</v>
      </c>
    </row>
    <row r="511" spans="1:11" hidden="1" x14ac:dyDescent="0.25">
      <c r="A511" s="67">
        <v>3224</v>
      </c>
      <c r="E511" s="109"/>
      <c r="F511" s="137">
        <f>SUMIF($A$6:$A$453,#REF!,$H$6:$H$453)</f>
        <v>0</v>
      </c>
      <c r="G511" s="110">
        <f t="shared" si="397"/>
        <v>3500</v>
      </c>
      <c r="H511" s="137">
        <f t="shared" si="395"/>
        <v>3358.47</v>
      </c>
      <c r="I511" s="109">
        <f t="shared" si="396"/>
        <v>0</v>
      </c>
    </row>
    <row r="512" spans="1:11" hidden="1" x14ac:dyDescent="0.25">
      <c r="A512" s="67">
        <v>3225</v>
      </c>
      <c r="E512" s="109"/>
      <c r="F512" s="137">
        <f>SUMIF($A$6:$A$453,#REF!,$H$6:$H$453)</f>
        <v>0</v>
      </c>
      <c r="G512" s="110">
        <f t="shared" si="397"/>
        <v>2500</v>
      </c>
      <c r="H512" s="137">
        <f t="shared" si="395"/>
        <v>2679.69</v>
      </c>
      <c r="I512" s="109">
        <f t="shared" si="396"/>
        <v>0</v>
      </c>
    </row>
    <row r="513" spans="1:9" hidden="1" x14ac:dyDescent="0.25">
      <c r="A513" s="67">
        <v>3227</v>
      </c>
      <c r="E513" s="109"/>
      <c r="F513" s="137">
        <f>SUMIF($A$6:$A$453,#REF!,$H$6:$H$453)</f>
        <v>0</v>
      </c>
      <c r="G513" s="110">
        <f t="shared" si="397"/>
        <v>900</v>
      </c>
      <c r="H513" s="137">
        <f t="shared" si="395"/>
        <v>280.92</v>
      </c>
      <c r="I513" s="109">
        <f t="shared" si="396"/>
        <v>0</v>
      </c>
    </row>
    <row r="514" spans="1:9" hidden="1" x14ac:dyDescent="0.25">
      <c r="A514" s="67">
        <v>3231</v>
      </c>
      <c r="F514" s="138">
        <f>SUMIF($A$6:$A$453,#REF!,$H$6:$H$453)</f>
        <v>0</v>
      </c>
      <c r="G514" s="110">
        <f t="shared" si="397"/>
        <v>18920</v>
      </c>
      <c r="H514" s="137">
        <f t="shared" si="395"/>
        <v>12968.39</v>
      </c>
      <c r="I514" s="108">
        <f t="shared" si="396"/>
        <v>0</v>
      </c>
    </row>
    <row r="515" spans="1:9" hidden="1" x14ac:dyDescent="0.25">
      <c r="A515" s="67">
        <v>3232</v>
      </c>
      <c r="F515" s="138">
        <f>SUMIF($A$6:$A$453,#REF!,$H$6:$H$453)</f>
        <v>0</v>
      </c>
      <c r="G515" s="110">
        <f t="shared" si="397"/>
        <v>32186.84</v>
      </c>
      <c r="H515" s="137">
        <f t="shared" si="395"/>
        <v>59816</v>
      </c>
      <c r="I515" s="108">
        <f t="shared" si="396"/>
        <v>0</v>
      </c>
    </row>
    <row r="516" spans="1:9" hidden="1" x14ac:dyDescent="0.25">
      <c r="A516" s="67">
        <v>3233</v>
      </c>
      <c r="F516" s="138">
        <f>SUMIF($A$6:$A$453,#REF!,$H$6:$H$453)</f>
        <v>0</v>
      </c>
      <c r="G516" s="68">
        <f t="shared" si="397"/>
        <v>10</v>
      </c>
      <c r="H516" s="137">
        <f t="shared" si="395"/>
        <v>0</v>
      </c>
      <c r="I516" s="108">
        <f t="shared" si="396"/>
        <v>0</v>
      </c>
    </row>
    <row r="517" spans="1:9" hidden="1" x14ac:dyDescent="0.25">
      <c r="A517" s="67">
        <v>3234</v>
      </c>
      <c r="F517" s="138">
        <f>SUMIF($A$6:$A$453,#REF!,$H$6:$H$453)</f>
        <v>0</v>
      </c>
      <c r="G517" s="204">
        <f t="shared" si="397"/>
        <v>4700</v>
      </c>
      <c r="H517" s="137">
        <f t="shared" si="395"/>
        <v>4883.6400000000003</v>
      </c>
      <c r="I517" s="108">
        <f t="shared" si="396"/>
        <v>0</v>
      </c>
    </row>
    <row r="518" spans="1:9" hidden="1" x14ac:dyDescent="0.25">
      <c r="A518" s="67">
        <v>3235</v>
      </c>
      <c r="F518" s="138">
        <f>SUMIF($A$6:$A$453,#REF!,$H$6:$H$453)</f>
        <v>0</v>
      </c>
      <c r="G518" s="204">
        <f t="shared" si="397"/>
        <v>2520</v>
      </c>
      <c r="H518" s="137">
        <f t="shared" si="395"/>
        <v>4186.97</v>
      </c>
      <c r="I518" s="108">
        <f t="shared" si="396"/>
        <v>0</v>
      </c>
    </row>
    <row r="519" spans="1:9" hidden="1" x14ac:dyDescent="0.25">
      <c r="A519" s="67">
        <v>3236</v>
      </c>
      <c r="F519" s="138">
        <f>SUMIF($A$6:$A$453,#REF!,$H$6:$H$453)</f>
        <v>0</v>
      </c>
      <c r="G519" s="204">
        <f t="shared" si="397"/>
        <v>4550</v>
      </c>
      <c r="H519" s="137">
        <f t="shared" si="395"/>
        <v>3787.57</v>
      </c>
      <c r="I519" s="108">
        <f t="shared" si="396"/>
        <v>0</v>
      </c>
    </row>
    <row r="520" spans="1:9" hidden="1" x14ac:dyDescent="0.25">
      <c r="A520" s="67">
        <v>3237</v>
      </c>
      <c r="F520" s="138">
        <f>SUMIF($A$6:$A$453,#REF!,$H$6:$H$453)</f>
        <v>0</v>
      </c>
      <c r="G520" s="204">
        <f t="shared" si="397"/>
        <v>2331</v>
      </c>
      <c r="H520" s="137">
        <f t="shared" si="395"/>
        <v>4049.75</v>
      </c>
      <c r="I520" s="108">
        <f t="shared" si="396"/>
        <v>0</v>
      </c>
    </row>
    <row r="521" spans="1:9" hidden="1" x14ac:dyDescent="0.25">
      <c r="A521" s="67">
        <v>3238</v>
      </c>
      <c r="F521" s="138">
        <f>SUMIF($A$6:$A$453,#REF!,$H$6:$H$453)</f>
        <v>0</v>
      </c>
      <c r="G521" s="204">
        <f t="shared" si="397"/>
        <v>2500</v>
      </c>
      <c r="H521" s="137">
        <f t="shared" si="395"/>
        <v>2598.8000000000002</v>
      </c>
      <c r="I521" s="108">
        <f t="shared" si="396"/>
        <v>0</v>
      </c>
    </row>
    <row r="522" spans="1:9" hidden="1" x14ac:dyDescent="0.25">
      <c r="A522" s="67">
        <v>3239</v>
      </c>
      <c r="F522" s="138">
        <f>SUMIF($A$6:$A$453,#REF!,$H$6:$H$453)</f>
        <v>0</v>
      </c>
      <c r="G522" s="68">
        <f t="shared" si="397"/>
        <v>2012</v>
      </c>
      <c r="H522" s="137">
        <f t="shared" si="395"/>
        <v>1245.78</v>
      </c>
      <c r="I522" s="108">
        <f t="shared" si="396"/>
        <v>0</v>
      </c>
    </row>
    <row r="523" spans="1:9" hidden="1" x14ac:dyDescent="0.25">
      <c r="A523" s="67">
        <v>3291</v>
      </c>
      <c r="F523" s="138">
        <f>SUMIF($A$6:$A$453,#REF!,$H$6:$H$453)</f>
        <v>0</v>
      </c>
      <c r="G523" s="204">
        <f t="shared" si="397"/>
        <v>0</v>
      </c>
      <c r="H523" s="137">
        <f t="shared" si="395"/>
        <v>0</v>
      </c>
      <c r="I523" s="108">
        <f t="shared" si="396"/>
        <v>0</v>
      </c>
    </row>
    <row r="524" spans="1:9" hidden="1" x14ac:dyDescent="0.25">
      <c r="A524" s="67">
        <v>3292</v>
      </c>
      <c r="F524" s="138">
        <f>SUMIF($A$6:$A$453,#REF!,$H$6:$H$453)</f>
        <v>0</v>
      </c>
      <c r="G524" s="204">
        <f t="shared" si="397"/>
        <v>1900</v>
      </c>
      <c r="H524" s="137">
        <f t="shared" si="395"/>
        <v>0</v>
      </c>
      <c r="I524" s="108">
        <f t="shared" si="396"/>
        <v>0</v>
      </c>
    </row>
    <row r="525" spans="1:9" hidden="1" x14ac:dyDescent="0.25">
      <c r="A525" s="67">
        <v>3293</v>
      </c>
      <c r="F525" s="138">
        <f>SUMIF($A$6:$A$453,#REF!,$H$6:$H$453)</f>
        <v>0</v>
      </c>
      <c r="G525" s="204">
        <f t="shared" si="397"/>
        <v>840</v>
      </c>
      <c r="H525" s="137">
        <f t="shared" si="395"/>
        <v>124.88</v>
      </c>
      <c r="I525" s="108">
        <f t="shared" si="396"/>
        <v>0</v>
      </c>
    </row>
    <row r="526" spans="1:9" hidden="1" x14ac:dyDescent="0.25">
      <c r="A526" s="67">
        <v>3294</v>
      </c>
      <c r="F526" s="138">
        <f>SUMIF($A$6:$A$453,#REF!,$H$6:$H$453)</f>
        <v>0</v>
      </c>
      <c r="G526" s="204">
        <f t="shared" si="397"/>
        <v>300</v>
      </c>
      <c r="H526" s="137">
        <f t="shared" si="395"/>
        <v>195</v>
      </c>
      <c r="I526" s="108">
        <f t="shared" si="396"/>
        <v>0</v>
      </c>
    </row>
    <row r="527" spans="1:9" s="108" customFormat="1" hidden="1" x14ac:dyDescent="0.25">
      <c r="A527" s="108">
        <v>3295</v>
      </c>
      <c r="F527" s="138">
        <f>SUMIF($A$6:$A$453,#REF!,$H$6:$H$453)</f>
        <v>0</v>
      </c>
      <c r="G527" s="109">
        <f t="shared" si="397"/>
        <v>4162</v>
      </c>
      <c r="H527" s="137">
        <f t="shared" si="395"/>
        <v>5005.12</v>
      </c>
      <c r="I527" s="108">
        <f t="shared" si="396"/>
        <v>0</v>
      </c>
    </row>
    <row r="528" spans="1:9" s="108" customFormat="1" hidden="1" x14ac:dyDescent="0.25">
      <c r="A528" s="108">
        <v>3296</v>
      </c>
      <c r="F528" s="138">
        <f>SUMIF($A$6:$A$453,#REF!,$H$6:$H$453)</f>
        <v>0</v>
      </c>
      <c r="G528" s="109">
        <f t="shared" si="397"/>
        <v>10</v>
      </c>
      <c r="H528" s="137">
        <f t="shared" si="395"/>
        <v>0</v>
      </c>
      <c r="I528" s="108">
        <f t="shared" si="396"/>
        <v>0</v>
      </c>
    </row>
    <row r="529" spans="1:9" hidden="1" x14ac:dyDescent="0.25">
      <c r="A529" s="67">
        <v>3299</v>
      </c>
      <c r="F529" s="138">
        <f>SUMIF($A$6:$A$453,#REF!,$H$6:$H$453)</f>
        <v>0</v>
      </c>
      <c r="G529" s="110">
        <f t="shared" si="397"/>
        <v>9186</v>
      </c>
      <c r="H529" s="137">
        <f t="shared" si="395"/>
        <v>7515.14</v>
      </c>
      <c r="I529" s="108">
        <f t="shared" si="396"/>
        <v>0</v>
      </c>
    </row>
    <row r="530" spans="1:9" hidden="1" x14ac:dyDescent="0.25">
      <c r="F530" s="138"/>
      <c r="G530" s="110"/>
      <c r="H530" s="137"/>
      <c r="I530" s="108"/>
    </row>
    <row r="531" spans="1:9" hidden="1" x14ac:dyDescent="0.25">
      <c r="A531" s="67">
        <v>3431</v>
      </c>
      <c r="F531" s="138">
        <f>SUMIF($A$6:$A$453,#REF!,$H$6:$H$453)</f>
        <v>0</v>
      </c>
      <c r="G531" s="110">
        <f>SUMIF($A$6:$A$453,A531,$G$6:$G$453)</f>
        <v>1140</v>
      </c>
      <c r="H531" s="137">
        <f>SUMIF($A$6:$A$453,A531,$H$6:$H$453)</f>
        <v>1041.8699999999999</v>
      </c>
      <c r="I531" s="108">
        <f>SUMIF($A$6:$A$453,A531,$I$6:$I$453)</f>
        <v>0</v>
      </c>
    </row>
    <row r="532" spans="1:9" hidden="1" x14ac:dyDescent="0.25">
      <c r="A532" s="67">
        <v>3433</v>
      </c>
      <c r="F532" s="138">
        <f>SUMIF($A$6:$A$453,#REF!,$H$6:$H$453)</f>
        <v>0</v>
      </c>
      <c r="G532" s="110">
        <f>SUMIF($A$6:$A$453,A532,$G$6:$G$453)</f>
        <v>25</v>
      </c>
      <c r="H532" s="137">
        <f>SUMIF($A$6:$A$453,A532,$H$6:$H$453)</f>
        <v>0</v>
      </c>
      <c r="I532" s="108">
        <f>SUMIF($A$6:$A$453,A532,$I$6:$I$453)</f>
        <v>0</v>
      </c>
    </row>
    <row r="533" spans="1:9" hidden="1" x14ac:dyDescent="0.25">
      <c r="F533" s="138"/>
      <c r="G533" s="110"/>
      <c r="H533" s="137"/>
      <c r="I533" s="108"/>
    </row>
    <row r="534" spans="1:9" hidden="1" x14ac:dyDescent="0.25">
      <c r="A534" s="67">
        <v>3722</v>
      </c>
      <c r="F534" s="138">
        <f>SUMIF($A$6:$A$453,#REF!,$H$6:$H$453)</f>
        <v>0</v>
      </c>
      <c r="G534" s="110">
        <f>SUMIF($A$6:$A$453,A534,$G$6:$G$453)</f>
        <v>0</v>
      </c>
      <c r="H534" s="137">
        <f>SUMIF($A$6:$A$453,A534,$H$6:$H$453)</f>
        <v>232</v>
      </c>
      <c r="I534" s="108">
        <f>SUMIF($A$6:$A$453,A534,$I$6:$I$453)</f>
        <v>0</v>
      </c>
    </row>
    <row r="535" spans="1:9" hidden="1" x14ac:dyDescent="0.25">
      <c r="F535" s="138"/>
      <c r="G535" s="110"/>
      <c r="H535" s="137"/>
      <c r="I535" s="108"/>
    </row>
    <row r="536" spans="1:9" hidden="1" x14ac:dyDescent="0.25">
      <c r="A536" s="67">
        <v>3811</v>
      </c>
      <c r="F536" s="138">
        <f>SUMIF($A$6:$A$453,#REF!,$H$6:$H$453)</f>
        <v>0</v>
      </c>
      <c r="G536" s="110">
        <f>SUMIF($A$6:$A$453,A536,$G$6:$G$453)</f>
        <v>0</v>
      </c>
      <c r="H536" s="137">
        <f>SUMIF($A$6:$A$453,A536,$H$6:$H$453)</f>
        <v>0</v>
      </c>
      <c r="I536" s="108">
        <f>SUMIF($A$6:$A$453,A536,$I$6:$I$453)</f>
        <v>0</v>
      </c>
    </row>
    <row r="537" spans="1:9" s="108" customFormat="1" hidden="1" x14ac:dyDescent="0.25">
      <c r="A537" s="108">
        <v>3812</v>
      </c>
      <c r="F537" s="138">
        <f>SUMIF($A$6:$A$453,#REF!,$H$6:$H$453)</f>
        <v>0</v>
      </c>
      <c r="G537" s="110">
        <f>SUMIF($A$6:$A$453,A537,$G$6:$G$453)</f>
        <v>985.43</v>
      </c>
      <c r="H537" s="137">
        <f>SUMIF($A$6:$A$453,A537,$H$6:$H$453)</f>
        <v>985.43</v>
      </c>
      <c r="I537" s="108">
        <f>SUMIF($A$6:$A$453,A537,$I$6:$I$453)</f>
        <v>0</v>
      </c>
    </row>
    <row r="538" spans="1:9" s="108" customFormat="1" hidden="1" x14ac:dyDescent="0.25">
      <c r="F538" s="138"/>
      <c r="G538" s="110"/>
      <c r="H538" s="137"/>
    </row>
    <row r="539" spans="1:9" hidden="1" x14ac:dyDescent="0.25">
      <c r="A539" s="67">
        <v>4212</v>
      </c>
      <c r="F539" s="138">
        <f>SUMIF($A$6:$A$453,#REF!,$H$6:$H$453)</f>
        <v>0</v>
      </c>
      <c r="G539" s="110">
        <f t="shared" ref="G539:G546" si="398">SUMIF($A$6:$A$453,A539,$G$6:$G$453)</f>
        <v>0</v>
      </c>
      <c r="H539" s="137">
        <f t="shared" ref="H539:H546" si="399">SUMIF($A$6:$A$453,A539,$H$6:$H$453)</f>
        <v>0</v>
      </c>
      <c r="I539" s="108">
        <f t="shared" ref="I539:I546" si="400">SUMIF($A$6:$A$453,A539,$I$6:$I$453)</f>
        <v>0</v>
      </c>
    </row>
    <row r="540" spans="1:9" hidden="1" x14ac:dyDescent="0.25">
      <c r="A540" s="67">
        <v>4221</v>
      </c>
      <c r="F540" s="138">
        <f>SUMIF($A$6:$A$453,#REF!,$H$6:$H$453)</f>
        <v>0</v>
      </c>
      <c r="G540" s="110">
        <f t="shared" si="398"/>
        <v>3617.84</v>
      </c>
      <c r="H540" s="137">
        <f t="shared" si="399"/>
        <v>12206.34</v>
      </c>
      <c r="I540" s="108">
        <f t="shared" si="400"/>
        <v>0</v>
      </c>
    </row>
    <row r="541" spans="1:9" hidden="1" x14ac:dyDescent="0.25">
      <c r="A541" s="67">
        <v>4223</v>
      </c>
      <c r="F541" s="138">
        <f>SUMIF($A$6:$A$453,#REF!,$H$6:$H$453)</f>
        <v>0</v>
      </c>
      <c r="G541" s="110">
        <f t="shared" si="398"/>
        <v>700</v>
      </c>
      <c r="H541" s="137">
        <f t="shared" si="399"/>
        <v>464.38</v>
      </c>
      <c r="I541" s="108">
        <f t="shared" si="400"/>
        <v>0</v>
      </c>
    </row>
    <row r="542" spans="1:9" hidden="1" x14ac:dyDescent="0.25">
      <c r="A542" s="67">
        <v>4226</v>
      </c>
      <c r="F542" s="138">
        <f>SUMIF($A$6:$A$453,#REF!,$H$6:$H$453)</f>
        <v>0</v>
      </c>
      <c r="G542" s="110">
        <f t="shared" si="398"/>
        <v>800</v>
      </c>
      <c r="H542" s="137">
        <f t="shared" si="399"/>
        <v>568.80999999999995</v>
      </c>
      <c r="I542" s="108">
        <f t="shared" si="400"/>
        <v>0</v>
      </c>
    </row>
    <row r="543" spans="1:9" hidden="1" x14ac:dyDescent="0.25">
      <c r="A543" s="67">
        <v>4227</v>
      </c>
      <c r="F543" s="138">
        <f>SUMIF($A$6:$A$453,#REF!,$H$6:$H$453)</f>
        <v>0</v>
      </c>
      <c r="G543" s="110">
        <f t="shared" si="398"/>
        <v>1200</v>
      </c>
      <c r="H543" s="137">
        <f t="shared" si="399"/>
        <v>0</v>
      </c>
      <c r="I543" s="108">
        <f t="shared" si="400"/>
        <v>0</v>
      </c>
    </row>
    <row r="544" spans="1:9" hidden="1" x14ac:dyDescent="0.25">
      <c r="A544" s="67">
        <v>4241</v>
      </c>
      <c r="F544" s="138">
        <f>SUMIF($A$6:$A$453,#REF!,$H$6:$H$453)</f>
        <v>0</v>
      </c>
      <c r="G544" s="110">
        <f t="shared" si="398"/>
        <v>4560</v>
      </c>
      <c r="H544" s="137">
        <f t="shared" si="399"/>
        <v>4324.8500000000004</v>
      </c>
      <c r="I544" s="108">
        <f t="shared" si="400"/>
        <v>0</v>
      </c>
    </row>
    <row r="545" spans="1:9" hidden="1" x14ac:dyDescent="0.25">
      <c r="A545" s="67">
        <v>4511</v>
      </c>
      <c r="F545" s="138">
        <f>SUMIF($A$6:$A$453,#REF!,$H$6:$H$453)</f>
        <v>0</v>
      </c>
      <c r="G545" s="110">
        <f t="shared" si="398"/>
        <v>0</v>
      </c>
      <c r="H545" s="137">
        <f t="shared" si="399"/>
        <v>0</v>
      </c>
      <c r="I545" s="108">
        <f t="shared" si="400"/>
        <v>0</v>
      </c>
    </row>
    <row r="546" spans="1:9" hidden="1" x14ac:dyDescent="0.25">
      <c r="F546" s="70">
        <f>SUMIF($A$6:$A$453,#REF!,$H$6:$H$453)</f>
        <v>0</v>
      </c>
      <c r="G546" s="110">
        <f t="shared" si="398"/>
        <v>0</v>
      </c>
      <c r="H546" s="136">
        <f t="shared" si="399"/>
        <v>0</v>
      </c>
      <c r="I546" s="67">
        <f t="shared" si="400"/>
        <v>0</v>
      </c>
    </row>
    <row r="547" spans="1:9" hidden="1" x14ac:dyDescent="0.25">
      <c r="F547" s="70"/>
      <c r="G547" s="68"/>
      <c r="H547" s="136"/>
    </row>
    <row r="548" spans="1:9" hidden="1" x14ac:dyDescent="0.25">
      <c r="F548" s="70"/>
      <c r="G548" s="68">
        <f>SUM(G499:G547)</f>
        <v>2041287.29</v>
      </c>
      <c r="H548" s="70"/>
    </row>
    <row r="549" spans="1:9" hidden="1" x14ac:dyDescent="0.25">
      <c r="F549" s="70"/>
      <c r="G549" s="68">
        <f>G548-G4</f>
        <v>0</v>
      </c>
      <c r="H549" s="70"/>
    </row>
    <row r="550" spans="1:9" hidden="1" x14ac:dyDescent="0.25">
      <c r="F550" s="70"/>
      <c r="H550" s="70"/>
    </row>
    <row r="551" spans="1:9" hidden="1" x14ac:dyDescent="0.25">
      <c r="F551" s="70"/>
      <c r="H551" s="70"/>
    </row>
    <row r="552" spans="1:9" hidden="1" x14ac:dyDescent="0.25">
      <c r="F552" s="70"/>
      <c r="H552" s="70"/>
    </row>
    <row r="553" spans="1:9" hidden="1" x14ac:dyDescent="0.25">
      <c r="F553" s="70"/>
      <c r="H553" s="70"/>
    </row>
    <row r="554" spans="1:9" hidden="1" x14ac:dyDescent="0.25">
      <c r="F554" s="70"/>
      <c r="H554" s="70"/>
    </row>
    <row r="555" spans="1:9" hidden="1" x14ac:dyDescent="0.25">
      <c r="F555" s="70"/>
      <c r="H555" s="70"/>
    </row>
    <row r="556" spans="1:9" hidden="1" x14ac:dyDescent="0.25">
      <c r="F556" s="70"/>
      <c r="H556" s="70"/>
    </row>
    <row r="557" spans="1:9" hidden="1" x14ac:dyDescent="0.25">
      <c r="F557" s="70"/>
      <c r="H557" s="70"/>
    </row>
    <row r="558" spans="1:9" hidden="1" x14ac:dyDescent="0.25">
      <c r="F558" s="70"/>
      <c r="H558" s="70"/>
    </row>
    <row r="559" spans="1:9" hidden="1" x14ac:dyDescent="0.25">
      <c r="F559" s="70"/>
      <c r="H559" s="70"/>
    </row>
    <row r="560" spans="1:9" hidden="1" x14ac:dyDescent="0.25">
      <c r="F560" s="70"/>
      <c r="H560" s="70"/>
    </row>
    <row r="561" spans="6:8" hidden="1" x14ac:dyDescent="0.25">
      <c r="F561" s="70"/>
      <c r="H561" s="70"/>
    </row>
    <row r="562" spans="6:8" hidden="1" x14ac:dyDescent="0.25">
      <c r="F562" s="70"/>
      <c r="H562" s="70"/>
    </row>
    <row r="563" spans="6:8" hidden="1" x14ac:dyDescent="0.25">
      <c r="F563" s="70"/>
      <c r="H563" s="70"/>
    </row>
    <row r="564" spans="6:8" hidden="1" x14ac:dyDescent="0.25">
      <c r="F564" s="70"/>
      <c r="H564" s="70"/>
    </row>
    <row r="565" spans="6:8" hidden="1" x14ac:dyDescent="0.25">
      <c r="F565" s="70"/>
      <c r="H565" s="70"/>
    </row>
    <row r="566" spans="6:8" hidden="1" x14ac:dyDescent="0.25">
      <c r="F566" s="70"/>
      <c r="H566" s="70"/>
    </row>
    <row r="567" spans="6:8" hidden="1" x14ac:dyDescent="0.25">
      <c r="F567" s="70"/>
      <c r="H567" s="70"/>
    </row>
    <row r="568" spans="6:8" hidden="1" x14ac:dyDescent="0.25">
      <c r="F568" s="70"/>
      <c r="H568" s="70"/>
    </row>
    <row r="569" spans="6:8" hidden="1" x14ac:dyDescent="0.25">
      <c r="F569" s="70"/>
      <c r="H569" s="70"/>
    </row>
    <row r="570" spans="6:8" hidden="1" x14ac:dyDescent="0.25">
      <c r="F570" s="70"/>
      <c r="H570" s="70"/>
    </row>
    <row r="571" spans="6:8" hidden="1" x14ac:dyDescent="0.25">
      <c r="F571" s="70"/>
      <c r="H571" s="70"/>
    </row>
    <row r="572" spans="6:8" hidden="1" x14ac:dyDescent="0.25">
      <c r="F572" s="70"/>
      <c r="H572" s="70"/>
    </row>
    <row r="573" spans="6:8" hidden="1" x14ac:dyDescent="0.25">
      <c r="F573" s="70"/>
      <c r="H573" s="70"/>
    </row>
    <row r="574" spans="6:8" hidden="1" x14ac:dyDescent="0.25">
      <c r="F574" s="70"/>
      <c r="H574" s="70"/>
    </row>
    <row r="575" spans="6:8" hidden="1" x14ac:dyDescent="0.25">
      <c r="F575" s="70"/>
      <c r="H575" s="70"/>
    </row>
    <row r="576" spans="6:8" hidden="1" x14ac:dyDescent="0.25">
      <c r="F576" s="70"/>
      <c r="H576" s="70"/>
    </row>
    <row r="577" spans="6:8" hidden="1" x14ac:dyDescent="0.25">
      <c r="F577" s="70"/>
      <c r="H577" s="70"/>
    </row>
    <row r="578" spans="6:8" hidden="1" x14ac:dyDescent="0.25">
      <c r="F578" s="70"/>
      <c r="H578" s="70"/>
    </row>
    <row r="579" spans="6:8" hidden="1" x14ac:dyDescent="0.25">
      <c r="F579" s="70"/>
      <c r="H579" s="70"/>
    </row>
    <row r="580" spans="6:8" hidden="1" x14ac:dyDescent="0.25">
      <c r="F580" s="70"/>
      <c r="H580" s="70"/>
    </row>
    <row r="581" spans="6:8" hidden="1" x14ac:dyDescent="0.25">
      <c r="F581" s="70"/>
      <c r="H581" s="70"/>
    </row>
    <row r="582" spans="6:8" hidden="1" x14ac:dyDescent="0.25">
      <c r="F582" s="70"/>
      <c r="H582" s="70"/>
    </row>
    <row r="583" spans="6:8" hidden="1" x14ac:dyDescent="0.25">
      <c r="F583" s="70"/>
      <c r="H583" s="70"/>
    </row>
    <row r="584" spans="6:8" hidden="1" x14ac:dyDescent="0.25">
      <c r="F584" s="70"/>
      <c r="H584" s="70"/>
    </row>
    <row r="585" spans="6:8" hidden="1" x14ac:dyDescent="0.25">
      <c r="F585" s="70"/>
      <c r="H585" s="70"/>
    </row>
    <row r="586" spans="6:8" hidden="1" x14ac:dyDescent="0.25">
      <c r="F586" s="70"/>
      <c r="H586" s="70"/>
    </row>
    <row r="587" spans="6:8" hidden="1" x14ac:dyDescent="0.25">
      <c r="F587" s="70"/>
      <c r="H587" s="70"/>
    </row>
    <row r="588" spans="6:8" x14ac:dyDescent="0.25">
      <c r="F588" s="70"/>
      <c r="H588" s="70"/>
    </row>
    <row r="589" spans="6:8" x14ac:dyDescent="0.25">
      <c r="F589" s="70"/>
      <c r="H589" s="70"/>
    </row>
    <row r="590" spans="6:8" x14ac:dyDescent="0.25">
      <c r="F590" s="70"/>
      <c r="H590" s="70"/>
    </row>
    <row r="591" spans="6:8" x14ac:dyDescent="0.25">
      <c r="F591" s="70"/>
      <c r="H591" s="70"/>
    </row>
    <row r="592" spans="6:8" x14ac:dyDescent="0.25">
      <c r="F592" s="70"/>
      <c r="H592" s="70"/>
    </row>
    <row r="593" spans="6:8" x14ac:dyDescent="0.25">
      <c r="F593" s="70"/>
      <c r="H593" s="70"/>
    </row>
    <row r="594" spans="6:8" x14ac:dyDescent="0.25">
      <c r="F594" s="70"/>
      <c r="H594" s="70"/>
    </row>
    <row r="595" spans="6:8" x14ac:dyDescent="0.25">
      <c r="F595" s="70"/>
      <c r="H595" s="70"/>
    </row>
    <row r="596" spans="6:8" x14ac:dyDescent="0.25">
      <c r="F596" s="70"/>
      <c r="H596" s="70"/>
    </row>
    <row r="597" spans="6:8" x14ac:dyDescent="0.25">
      <c r="F597" s="70"/>
      <c r="H597" s="70"/>
    </row>
    <row r="598" spans="6:8" x14ac:dyDescent="0.25">
      <c r="F598" s="70"/>
      <c r="H598" s="70"/>
    </row>
    <row r="599" spans="6:8" x14ac:dyDescent="0.25">
      <c r="F599" s="70"/>
      <c r="H599" s="70"/>
    </row>
    <row r="600" spans="6:8" x14ac:dyDescent="0.25">
      <c r="F600" s="70"/>
      <c r="H600" s="70"/>
    </row>
    <row r="601" spans="6:8" x14ac:dyDescent="0.25">
      <c r="F601" s="70"/>
      <c r="H601" s="70"/>
    </row>
    <row r="602" spans="6:8" x14ac:dyDescent="0.25">
      <c r="F602" s="70"/>
      <c r="H602" s="70"/>
    </row>
    <row r="603" spans="6:8" x14ac:dyDescent="0.25">
      <c r="F603" s="70"/>
      <c r="H603" s="70"/>
    </row>
    <row r="604" spans="6:8" x14ac:dyDescent="0.25">
      <c r="F604" s="70"/>
      <c r="H604" s="70"/>
    </row>
    <row r="605" spans="6:8" x14ac:dyDescent="0.25">
      <c r="F605" s="70"/>
      <c r="H605" s="70"/>
    </row>
    <row r="606" spans="6:8" x14ac:dyDescent="0.25">
      <c r="F606" s="70"/>
      <c r="H606" s="70"/>
    </row>
    <row r="607" spans="6:8" x14ac:dyDescent="0.25">
      <c r="F607" s="70"/>
      <c r="H607" s="70"/>
    </row>
    <row r="608" spans="6:8" x14ac:dyDescent="0.25">
      <c r="F608" s="70"/>
      <c r="H608" s="70"/>
    </row>
    <row r="609" spans="6:8" x14ac:dyDescent="0.25">
      <c r="F609" s="70"/>
      <c r="H609" s="70"/>
    </row>
    <row r="610" spans="6:8" x14ac:dyDescent="0.25">
      <c r="F610" s="70"/>
      <c r="H610" s="70"/>
    </row>
    <row r="611" spans="6:8" x14ac:dyDescent="0.25">
      <c r="F611" s="70"/>
      <c r="H611" s="70"/>
    </row>
    <row r="612" spans="6:8" x14ac:dyDescent="0.25">
      <c r="F612" s="70"/>
      <c r="H612" s="70"/>
    </row>
    <row r="613" spans="6:8" x14ac:dyDescent="0.25">
      <c r="F613" s="70"/>
      <c r="H613" s="70"/>
    </row>
    <row r="614" spans="6:8" x14ac:dyDescent="0.25">
      <c r="F614" s="70"/>
      <c r="H614" s="70"/>
    </row>
    <row r="615" spans="6:8" x14ac:dyDescent="0.25">
      <c r="F615" s="70"/>
      <c r="H615" s="70"/>
    </row>
    <row r="616" spans="6:8" x14ac:dyDescent="0.25">
      <c r="F616" s="70"/>
      <c r="H616" s="70"/>
    </row>
    <row r="617" spans="6:8" x14ac:dyDescent="0.25">
      <c r="F617" s="70"/>
      <c r="H617" s="70"/>
    </row>
    <row r="618" spans="6:8" x14ac:dyDescent="0.25">
      <c r="F618" s="70"/>
      <c r="H618" s="70"/>
    </row>
    <row r="619" spans="6:8" x14ac:dyDescent="0.25">
      <c r="F619" s="70"/>
      <c r="H619" s="70"/>
    </row>
    <row r="620" spans="6:8" x14ac:dyDescent="0.25">
      <c r="F620" s="70"/>
      <c r="H620" s="70"/>
    </row>
    <row r="621" spans="6:8" x14ac:dyDescent="0.25">
      <c r="F621" s="70"/>
      <c r="H621" s="70"/>
    </row>
    <row r="622" spans="6:8" x14ac:dyDescent="0.25">
      <c r="F622" s="70"/>
      <c r="H622" s="70"/>
    </row>
    <row r="623" spans="6:8" x14ac:dyDescent="0.25">
      <c r="F623" s="70"/>
      <c r="H623" s="70"/>
    </row>
    <row r="624" spans="6:8" x14ac:dyDescent="0.25">
      <c r="F624" s="70"/>
      <c r="H624" s="70"/>
    </row>
    <row r="625" spans="6:8" x14ac:dyDescent="0.25">
      <c r="F625" s="70"/>
      <c r="H625" s="70"/>
    </row>
    <row r="626" spans="6:8" x14ac:dyDescent="0.25">
      <c r="F626" s="70"/>
      <c r="H626" s="70"/>
    </row>
    <row r="627" spans="6:8" x14ac:dyDescent="0.25">
      <c r="F627" s="70"/>
      <c r="H627" s="70"/>
    </row>
    <row r="628" spans="6:8" x14ac:dyDescent="0.25">
      <c r="F628" s="70"/>
      <c r="H628" s="70"/>
    </row>
    <row r="629" spans="6:8" x14ac:dyDescent="0.25">
      <c r="F629" s="70"/>
      <c r="H629" s="70"/>
    </row>
    <row r="630" spans="6:8" x14ac:dyDescent="0.25">
      <c r="F630" s="70"/>
      <c r="H630" s="70"/>
    </row>
    <row r="631" spans="6:8" x14ac:dyDescent="0.25">
      <c r="F631" s="70"/>
      <c r="H631" s="70"/>
    </row>
    <row r="632" spans="6:8" x14ac:dyDescent="0.25">
      <c r="F632" s="70"/>
      <c r="H632" s="70"/>
    </row>
    <row r="633" spans="6:8" x14ac:dyDescent="0.25">
      <c r="F633" s="70"/>
      <c r="H633" s="70"/>
    </row>
    <row r="634" spans="6:8" x14ac:dyDescent="0.25">
      <c r="F634" s="70"/>
      <c r="H634" s="70"/>
    </row>
    <row r="635" spans="6:8" x14ac:dyDescent="0.25">
      <c r="F635" s="70"/>
      <c r="H635" s="70"/>
    </row>
    <row r="636" spans="6:8" x14ac:dyDescent="0.25">
      <c r="F636" s="70"/>
      <c r="H636" s="70"/>
    </row>
    <row r="637" spans="6:8" x14ac:dyDescent="0.25">
      <c r="F637" s="70"/>
      <c r="H637" s="70"/>
    </row>
    <row r="638" spans="6:8" x14ac:dyDescent="0.25">
      <c r="F638" s="70"/>
      <c r="H638" s="70"/>
    </row>
    <row r="639" spans="6:8" x14ac:dyDescent="0.25">
      <c r="F639" s="70"/>
      <c r="H639" s="70"/>
    </row>
    <row r="640" spans="6:8" x14ac:dyDescent="0.25">
      <c r="F640" s="70"/>
      <c r="H640" s="70"/>
    </row>
    <row r="641" spans="6:8" x14ac:dyDescent="0.25">
      <c r="F641" s="70"/>
      <c r="H641" s="70"/>
    </row>
    <row r="642" spans="6:8" x14ac:dyDescent="0.25">
      <c r="F642" s="70"/>
      <c r="H642" s="70"/>
    </row>
    <row r="643" spans="6:8" x14ac:dyDescent="0.25">
      <c r="F643" s="70"/>
      <c r="H643" s="70"/>
    </row>
    <row r="644" spans="6:8" x14ac:dyDescent="0.25">
      <c r="F644" s="70"/>
      <c r="H644" s="70"/>
    </row>
    <row r="645" spans="6:8" x14ac:dyDescent="0.25">
      <c r="F645" s="70"/>
      <c r="H645" s="70"/>
    </row>
    <row r="646" spans="6:8" x14ac:dyDescent="0.25">
      <c r="F646" s="70"/>
      <c r="H646" s="70"/>
    </row>
    <row r="647" spans="6:8" x14ac:dyDescent="0.25">
      <c r="F647" s="70"/>
      <c r="H647" s="70"/>
    </row>
    <row r="648" spans="6:8" x14ac:dyDescent="0.25">
      <c r="F648" s="70"/>
      <c r="H648" s="70"/>
    </row>
    <row r="649" spans="6:8" x14ac:dyDescent="0.25">
      <c r="F649" s="70"/>
      <c r="H649" s="70"/>
    </row>
    <row r="650" spans="6:8" x14ac:dyDescent="0.25">
      <c r="F650" s="70"/>
      <c r="H650" s="70"/>
    </row>
    <row r="651" spans="6:8" x14ac:dyDescent="0.25">
      <c r="F651" s="70"/>
      <c r="H651" s="70"/>
    </row>
    <row r="652" spans="6:8" x14ac:dyDescent="0.25">
      <c r="F652" s="70"/>
      <c r="H652" s="70"/>
    </row>
    <row r="653" spans="6:8" x14ac:dyDescent="0.25">
      <c r="F653" s="70"/>
      <c r="H653" s="70"/>
    </row>
    <row r="654" spans="6:8" x14ac:dyDescent="0.25">
      <c r="F654" s="70"/>
      <c r="H654" s="70"/>
    </row>
    <row r="655" spans="6:8" x14ac:dyDescent="0.25">
      <c r="F655" s="70"/>
      <c r="H655" s="70"/>
    </row>
    <row r="656" spans="6:8" x14ac:dyDescent="0.25">
      <c r="F656" s="70"/>
      <c r="H656" s="70"/>
    </row>
    <row r="657" spans="6:8" x14ac:dyDescent="0.25">
      <c r="F657" s="70"/>
      <c r="H657" s="70"/>
    </row>
    <row r="658" spans="6:8" x14ac:dyDescent="0.25">
      <c r="F658" s="70"/>
      <c r="H658" s="70"/>
    </row>
    <row r="659" spans="6:8" x14ac:dyDescent="0.25">
      <c r="F659" s="70"/>
      <c r="H659" s="70"/>
    </row>
    <row r="660" spans="6:8" x14ac:dyDescent="0.25">
      <c r="F660" s="70"/>
      <c r="H660" s="70"/>
    </row>
    <row r="661" spans="6:8" x14ac:dyDescent="0.25">
      <c r="F661" s="70"/>
      <c r="H661" s="70"/>
    </row>
    <row r="662" spans="6:8" x14ac:dyDescent="0.25">
      <c r="F662" s="70"/>
      <c r="H662" s="70"/>
    </row>
    <row r="663" spans="6:8" x14ac:dyDescent="0.25">
      <c r="F663" s="70"/>
      <c r="H663" s="70"/>
    </row>
    <row r="664" spans="6:8" x14ac:dyDescent="0.25">
      <c r="F664" s="70"/>
      <c r="H664" s="70"/>
    </row>
    <row r="665" spans="6:8" x14ac:dyDescent="0.25">
      <c r="F665" s="70"/>
      <c r="H665" s="70"/>
    </row>
  </sheetData>
  <autoFilter ref="A5:I452">
    <filterColumn colId="0" showButton="0"/>
    <filterColumn colId="1" showButton="0"/>
  </autoFilter>
  <mergeCells count="441">
    <mergeCell ref="A452:C452"/>
    <mergeCell ref="A438:C438"/>
    <mergeCell ref="A439:C439"/>
    <mergeCell ref="A440:C440"/>
    <mergeCell ref="A441:C441"/>
    <mergeCell ref="A442:C442"/>
    <mergeCell ref="A443:C443"/>
    <mergeCell ref="A444:C444"/>
    <mergeCell ref="A445:C445"/>
    <mergeCell ref="A446:C446"/>
    <mergeCell ref="A447:C447"/>
    <mergeCell ref="A448:C448"/>
    <mergeCell ref="A449:C449"/>
    <mergeCell ref="A450:C450"/>
    <mergeCell ref="A451:C451"/>
    <mergeCell ref="A371:C371"/>
    <mergeCell ref="A333:C333"/>
    <mergeCell ref="A334:C334"/>
    <mergeCell ref="A343:C343"/>
    <mergeCell ref="A351:C351"/>
    <mergeCell ref="A398:C398"/>
    <mergeCell ref="A380:C380"/>
    <mergeCell ref="A381:C381"/>
    <mergeCell ref="A382:C382"/>
    <mergeCell ref="A386:C386"/>
    <mergeCell ref="A396:C396"/>
    <mergeCell ref="A395:C395"/>
    <mergeCell ref="A377:C377"/>
    <mergeCell ref="A375:C375"/>
    <mergeCell ref="A384:C384"/>
    <mergeCell ref="A437:C437"/>
    <mergeCell ref="A251:C251"/>
    <mergeCell ref="A252:C252"/>
    <mergeCell ref="A253:C253"/>
    <mergeCell ref="A257:C257"/>
    <mergeCell ref="A401:C401"/>
    <mergeCell ref="A402:C402"/>
    <mergeCell ref="A403:C403"/>
    <mergeCell ref="A264:C264"/>
    <mergeCell ref="A271:C271"/>
    <mergeCell ref="A260:C260"/>
    <mergeCell ref="A261:C261"/>
    <mergeCell ref="A279:C279"/>
    <mergeCell ref="A307:C307"/>
    <mergeCell ref="A308:C308"/>
    <mergeCell ref="A331:C331"/>
    <mergeCell ref="A325:C325"/>
    <mergeCell ref="A309:C309"/>
    <mergeCell ref="A316:C316"/>
    <mergeCell ref="A425:C425"/>
    <mergeCell ref="A426:C426"/>
    <mergeCell ref="A225:C225"/>
    <mergeCell ref="A207:C207"/>
    <mergeCell ref="A226:C226"/>
    <mergeCell ref="A227:C227"/>
    <mergeCell ref="A222:C222"/>
    <mergeCell ref="A224:C224"/>
    <mergeCell ref="A282:C282"/>
    <mergeCell ref="A196:C196"/>
    <mergeCell ref="A435:C435"/>
    <mergeCell ref="A272:C272"/>
    <mergeCell ref="A262:C262"/>
    <mergeCell ref="A232:C232"/>
    <mergeCell ref="A310:C310"/>
    <mergeCell ref="A255:C255"/>
    <mergeCell ref="A256:C256"/>
    <mergeCell ref="A233:C233"/>
    <mergeCell ref="A234:C234"/>
    <mergeCell ref="A240:C240"/>
    <mergeCell ref="A249:C249"/>
    <mergeCell ref="A1:I1"/>
    <mergeCell ref="A3:I3"/>
    <mergeCell ref="A5:C5"/>
    <mergeCell ref="A40:C40"/>
    <mergeCell ref="A41:C41"/>
    <mergeCell ref="A42:C42"/>
    <mergeCell ref="A6:C6"/>
    <mergeCell ref="A7:C7"/>
    <mergeCell ref="A8:C8"/>
    <mergeCell ref="A9:C9"/>
    <mergeCell ref="A10:C10"/>
    <mergeCell ref="A12:C12"/>
    <mergeCell ref="A20:C20"/>
    <mergeCell ref="A21:C21"/>
    <mergeCell ref="A22:C22"/>
    <mergeCell ref="A23:C23"/>
    <mergeCell ref="A24:C24"/>
    <mergeCell ref="A26:C26"/>
    <mergeCell ref="A27:C27"/>
    <mergeCell ref="A28:C28"/>
    <mergeCell ref="A29:C29"/>
    <mergeCell ref="A31:C31"/>
    <mergeCell ref="A25:C25"/>
    <mergeCell ref="A30:C30"/>
    <mergeCell ref="A175:C175"/>
    <mergeCell ref="A160:C160"/>
    <mergeCell ref="A163:C163"/>
    <mergeCell ref="A73:C73"/>
    <mergeCell ref="A74:C74"/>
    <mergeCell ref="A109:C109"/>
    <mergeCell ref="A110:C110"/>
    <mergeCell ref="A83:C83"/>
    <mergeCell ref="A100:C100"/>
    <mergeCell ref="A101:C101"/>
    <mergeCell ref="A102:C102"/>
    <mergeCell ref="A103:C103"/>
    <mergeCell ref="A107:C107"/>
    <mergeCell ref="A108:C108"/>
    <mergeCell ref="A105:C105"/>
    <mergeCell ref="A88:C88"/>
    <mergeCell ref="A119:C119"/>
    <mergeCell ref="A392:C392"/>
    <mergeCell ref="A393:C393"/>
    <mergeCell ref="A313:C313"/>
    <mergeCell ref="A314:C314"/>
    <mergeCell ref="A321:C321"/>
    <mergeCell ref="A322:C322"/>
    <mergeCell ref="A335:C335"/>
    <mergeCell ref="A312:C312"/>
    <mergeCell ref="A318:C318"/>
    <mergeCell ref="A327:C327"/>
    <mergeCell ref="A372:C372"/>
    <mergeCell ref="A359:C359"/>
    <mergeCell ref="A360:C360"/>
    <mergeCell ref="A361:C361"/>
    <mergeCell ref="A362:C362"/>
    <mergeCell ref="A363:C363"/>
    <mergeCell ref="A364:C364"/>
    <mergeCell ref="A365:C365"/>
    <mergeCell ref="A366:C366"/>
    <mergeCell ref="A317:C317"/>
    <mergeCell ref="A337:C337"/>
    <mergeCell ref="A323:C323"/>
    <mergeCell ref="A332:C332"/>
    <mergeCell ref="A341:C341"/>
    <mergeCell ref="A202:C202"/>
    <mergeCell ref="A203:C203"/>
    <mergeCell ref="A204:C204"/>
    <mergeCell ref="A201:C201"/>
    <mergeCell ref="A185:C185"/>
    <mergeCell ref="A187:C187"/>
    <mergeCell ref="A188:C188"/>
    <mergeCell ref="A190:C190"/>
    <mergeCell ref="A390:C390"/>
    <mergeCell ref="A193:C193"/>
    <mergeCell ref="A194:C194"/>
    <mergeCell ref="A195:C195"/>
    <mergeCell ref="A209:C209"/>
    <mergeCell ref="A210:C210"/>
    <mergeCell ref="A211:C211"/>
    <mergeCell ref="A199:C199"/>
    <mergeCell ref="A208:C208"/>
    <mergeCell ref="A231:C231"/>
    <mergeCell ref="A206:C206"/>
    <mergeCell ref="A342:C342"/>
    <mergeCell ref="A347:C347"/>
    <mergeCell ref="A345:C345"/>
    <mergeCell ref="A267:C267"/>
    <mergeCell ref="A280:C280"/>
    <mergeCell ref="A174:C174"/>
    <mergeCell ref="A144:C144"/>
    <mergeCell ref="A236:C236"/>
    <mergeCell ref="A237:C237"/>
    <mergeCell ref="A229:C229"/>
    <mergeCell ref="A200:C200"/>
    <mergeCell ref="A212:C212"/>
    <mergeCell ref="A213:C213"/>
    <mergeCell ref="A214:C214"/>
    <mergeCell ref="A215:C215"/>
    <mergeCell ref="A219:C219"/>
    <mergeCell ref="A220:C220"/>
    <mergeCell ref="A221:C221"/>
    <mergeCell ref="A182:C182"/>
    <mergeCell ref="A178:C178"/>
    <mergeCell ref="A197:C197"/>
    <mergeCell ref="A192:C192"/>
    <mergeCell ref="A179:C179"/>
    <mergeCell ref="A180:C180"/>
    <mergeCell ref="A181:C181"/>
    <mergeCell ref="A183:C183"/>
    <mergeCell ref="A145:C145"/>
    <mergeCell ref="A217:C217"/>
    <mergeCell ref="A198:C198"/>
    <mergeCell ref="A288:C288"/>
    <mergeCell ref="A291:C291"/>
    <mergeCell ref="A292:C292"/>
    <mergeCell ref="A293:C293"/>
    <mergeCell ref="A294:C294"/>
    <mergeCell ref="A296:C296"/>
    <mergeCell ref="A283:C283"/>
    <mergeCell ref="A284:C284"/>
    <mergeCell ref="A285:C285"/>
    <mergeCell ref="A286:C286"/>
    <mergeCell ref="A290:C290"/>
    <mergeCell ref="A295:C295"/>
    <mergeCell ref="A424:C424"/>
    <mergeCell ref="A405:C405"/>
    <mergeCell ref="A406:C406"/>
    <mergeCell ref="A412:C412"/>
    <mergeCell ref="A417:C417"/>
    <mergeCell ref="A422:C422"/>
    <mergeCell ref="A339:C339"/>
    <mergeCell ref="A387:C387"/>
    <mergeCell ref="A388:C388"/>
    <mergeCell ref="A370:C370"/>
    <mergeCell ref="A369:C369"/>
    <mergeCell ref="A419:C419"/>
    <mergeCell ref="A420:C420"/>
    <mergeCell ref="A413:C413"/>
    <mergeCell ref="A414:C414"/>
    <mergeCell ref="A415:C415"/>
    <mergeCell ref="A368:C368"/>
    <mergeCell ref="A354:C354"/>
    <mergeCell ref="A355:C355"/>
    <mergeCell ref="A356:C356"/>
    <mergeCell ref="A357:C357"/>
    <mergeCell ref="A358:C358"/>
    <mergeCell ref="A367:C367"/>
    <mergeCell ref="A397:C397"/>
    <mergeCell ref="A428:C428"/>
    <mergeCell ref="A429:C429"/>
    <mergeCell ref="A430:C430"/>
    <mergeCell ref="A431:C431"/>
    <mergeCell ref="A433:C433"/>
    <mergeCell ref="A434:C434"/>
    <mergeCell ref="A238:C238"/>
    <mergeCell ref="A289:C289"/>
    <mergeCell ref="A418:C418"/>
    <mergeCell ref="A407:C407"/>
    <mergeCell ref="A408:C408"/>
    <mergeCell ref="A409:C409"/>
    <mergeCell ref="A410:C410"/>
    <mergeCell ref="A376:C376"/>
    <mergeCell ref="A297:C297"/>
    <mergeCell ref="A298:C298"/>
    <mergeCell ref="A299:C299"/>
    <mergeCell ref="A300:C300"/>
    <mergeCell ref="A301:C301"/>
    <mergeCell ref="A302:C302"/>
    <mergeCell ref="A303:C303"/>
    <mergeCell ref="A306:C306"/>
    <mergeCell ref="A320:C320"/>
    <mergeCell ref="A423:C423"/>
    <mergeCell ref="A311:C311"/>
    <mergeCell ref="A319:C319"/>
    <mergeCell ref="A315:C315"/>
    <mergeCell ref="A324:C324"/>
    <mergeCell ref="A326:C326"/>
    <mergeCell ref="A43:C43"/>
    <mergeCell ref="A51:C51"/>
    <mergeCell ref="A60:C60"/>
    <mergeCell ref="A66:C66"/>
    <mergeCell ref="A91:C91"/>
    <mergeCell ref="A104:C104"/>
    <mergeCell ref="A111:C111"/>
    <mergeCell ref="A117:C117"/>
    <mergeCell ref="A93:C93"/>
    <mergeCell ref="A112:C112"/>
    <mergeCell ref="A72:C72"/>
    <mergeCell ref="A84:C84"/>
    <mergeCell ref="A92:C92"/>
    <mergeCell ref="A54:C54"/>
    <mergeCell ref="A55:C55"/>
    <mergeCell ref="A56:C56"/>
    <mergeCell ref="A57:C57"/>
    <mergeCell ref="A58:C58"/>
    <mergeCell ref="A59:C59"/>
    <mergeCell ref="A47:C47"/>
    <mergeCell ref="A48:C48"/>
    <mergeCell ref="A49:C49"/>
    <mergeCell ref="A50:C50"/>
    <mergeCell ref="A52:C52"/>
    <mergeCell ref="A53:C53"/>
    <mergeCell ref="A64:C64"/>
    <mergeCell ref="A46:C46"/>
    <mergeCell ref="A304:C304"/>
    <mergeCell ref="A61:C61"/>
    <mergeCell ref="A62:C62"/>
    <mergeCell ref="A63:C63"/>
    <mergeCell ref="A80:C80"/>
    <mergeCell ref="A81:C81"/>
    <mergeCell ref="A82:C82"/>
    <mergeCell ref="A65:C65"/>
    <mergeCell ref="A75:C75"/>
    <mergeCell ref="A77:C77"/>
    <mergeCell ref="A78:C78"/>
    <mergeCell ref="A87:C87"/>
    <mergeCell ref="A79:C79"/>
    <mergeCell ref="A68:C68"/>
    <mergeCell ref="A69:C69"/>
    <mergeCell ref="A287:C287"/>
    <mergeCell ref="A38:C38"/>
    <mergeCell ref="A39:C39"/>
    <mergeCell ref="A136:C136"/>
    <mergeCell ref="A138:C138"/>
    <mergeCell ref="A85:C85"/>
    <mergeCell ref="A86:C86"/>
    <mergeCell ref="A113:C113"/>
    <mergeCell ref="A114:C114"/>
    <mergeCell ref="A115:C115"/>
    <mergeCell ref="A116:C116"/>
    <mergeCell ref="A94:C94"/>
    <mergeCell ref="A95:C95"/>
    <mergeCell ref="A96:C96"/>
    <mergeCell ref="A97:C97"/>
    <mergeCell ref="A106:C106"/>
    <mergeCell ref="A98:C98"/>
    <mergeCell ref="A99:C99"/>
    <mergeCell ref="A118:C118"/>
    <mergeCell ref="A70:C70"/>
    <mergeCell ref="A71:C71"/>
    <mergeCell ref="A76:C76"/>
    <mergeCell ref="A67:C67"/>
    <mergeCell ref="A44:C44"/>
    <mergeCell ref="A45:C45"/>
    <mergeCell ref="A172:C172"/>
    <mergeCell ref="A124:C124"/>
    <mergeCell ref="A126:C126"/>
    <mergeCell ref="A128:C128"/>
    <mergeCell ref="A131:C131"/>
    <mergeCell ref="A137:C137"/>
    <mergeCell ref="A139:C139"/>
    <mergeCell ref="A141:C141"/>
    <mergeCell ref="A120:C120"/>
    <mergeCell ref="A121:C121"/>
    <mergeCell ref="A122:C122"/>
    <mergeCell ref="A123:C123"/>
    <mergeCell ref="A125:C125"/>
    <mergeCell ref="A127:C127"/>
    <mergeCell ref="A129:C129"/>
    <mergeCell ref="A130:C130"/>
    <mergeCell ref="A132:C132"/>
    <mergeCell ref="A133:C133"/>
    <mergeCell ref="A140:C140"/>
    <mergeCell ref="A142:C142"/>
    <mergeCell ref="A143:C143"/>
    <mergeCell ref="A134:C134"/>
    <mergeCell ref="A135:C135"/>
    <mergeCell ref="A146:C146"/>
    <mergeCell ref="A164:C164"/>
    <mergeCell ref="A165:C165"/>
    <mergeCell ref="A167:C167"/>
    <mergeCell ref="A169:C169"/>
    <mergeCell ref="A171:C171"/>
    <mergeCell ref="A147:C147"/>
    <mergeCell ref="A148:C148"/>
    <mergeCell ref="A149:C149"/>
    <mergeCell ref="A150:C150"/>
    <mergeCell ref="A152:C152"/>
    <mergeCell ref="A154:C154"/>
    <mergeCell ref="A156:C156"/>
    <mergeCell ref="A157:C157"/>
    <mergeCell ref="A151:C151"/>
    <mergeCell ref="A153:C153"/>
    <mergeCell ref="A155:C155"/>
    <mergeCell ref="A158:C158"/>
    <mergeCell ref="A166:C166"/>
    <mergeCell ref="A168:C168"/>
    <mergeCell ref="A170:C170"/>
    <mergeCell ref="A159:C159"/>
    <mergeCell ref="A432:C432"/>
    <mergeCell ref="A436:C436"/>
    <mergeCell ref="A11:C11"/>
    <mergeCell ref="A378:C378"/>
    <mergeCell ref="A383:C383"/>
    <mergeCell ref="A389:C389"/>
    <mergeCell ref="A394:C394"/>
    <mergeCell ref="A399:C399"/>
    <mergeCell ref="A416:C416"/>
    <mergeCell ref="A421:C421"/>
    <mergeCell ref="A411:C411"/>
    <mergeCell ref="A427:C427"/>
    <mergeCell ref="A330:C330"/>
    <mergeCell ref="A336:C336"/>
    <mergeCell ref="A338:C338"/>
    <mergeCell ref="A340:C340"/>
    <mergeCell ref="A344:C344"/>
    <mergeCell ref="A346:C346"/>
    <mergeCell ref="A348:C348"/>
    <mergeCell ref="A352:C352"/>
    <mergeCell ref="A373:C373"/>
    <mergeCell ref="A254:C254"/>
    <mergeCell ref="A259:C259"/>
    <mergeCell ref="A263:C263"/>
    <mergeCell ref="A34:C34"/>
    <mergeCell ref="A35:C35"/>
    <mergeCell ref="A36:C36"/>
    <mergeCell ref="A37:C37"/>
    <mergeCell ref="A89:C89"/>
    <mergeCell ref="A90:C90"/>
    <mergeCell ref="A268:C268"/>
    <mergeCell ref="A270:C270"/>
    <mergeCell ref="A273:C273"/>
    <mergeCell ref="A205:C205"/>
    <mergeCell ref="A216:C216"/>
    <mergeCell ref="A223:C223"/>
    <mergeCell ref="A228:C228"/>
    <mergeCell ref="A235:C235"/>
    <mergeCell ref="A239:C239"/>
    <mergeCell ref="A244:C244"/>
    <mergeCell ref="A250:C250"/>
    <mergeCell ref="A247:C247"/>
    <mergeCell ref="A241:C241"/>
    <mergeCell ref="A218:C218"/>
    <mergeCell ref="A242:C242"/>
    <mergeCell ref="A246:C246"/>
    <mergeCell ref="A248:C248"/>
    <mergeCell ref="A243:C243"/>
    <mergeCell ref="A13:C13"/>
    <mergeCell ref="A14:C14"/>
    <mergeCell ref="A15:C15"/>
    <mergeCell ref="A16:C16"/>
    <mergeCell ref="A17:C17"/>
    <mergeCell ref="A18:C18"/>
    <mergeCell ref="A19:C19"/>
    <mergeCell ref="A32:C32"/>
    <mergeCell ref="A33:C33"/>
    <mergeCell ref="A269:C269"/>
    <mergeCell ref="A276:C276"/>
    <mergeCell ref="A277:C277"/>
    <mergeCell ref="A278:C278"/>
    <mergeCell ref="A305:C305"/>
    <mergeCell ref="A349:C349"/>
    <mergeCell ref="A328:C328"/>
    <mergeCell ref="A329:C329"/>
    <mergeCell ref="A161:C161"/>
    <mergeCell ref="A162:C162"/>
    <mergeCell ref="A176:C176"/>
    <mergeCell ref="A177:C177"/>
    <mergeCell ref="A281:C281"/>
    <mergeCell ref="A274:C274"/>
    <mergeCell ref="A275:C275"/>
    <mergeCell ref="A258:C258"/>
    <mergeCell ref="A265:C265"/>
    <mergeCell ref="A266:C266"/>
    <mergeCell ref="A230:C230"/>
    <mergeCell ref="A191:C191"/>
    <mergeCell ref="A184:C184"/>
    <mergeCell ref="A186:C186"/>
    <mergeCell ref="A189:C189"/>
    <mergeCell ref="A173:C17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rowBreaks count="2" manualBreakCount="2">
    <brk id="229" max="8" man="1"/>
    <brk id="456" max="8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BreakPreview" zoomScaleNormal="100" zoomScaleSheetLayoutView="100" workbookViewId="0">
      <selection activeCell="E18" sqref="E18"/>
    </sheetView>
  </sheetViews>
  <sheetFormatPr defaultRowHeight="15" x14ac:dyDescent="0.25"/>
  <cols>
    <col min="1" max="1" width="37.7109375" customWidth="1"/>
    <col min="2" max="2" width="25.28515625" hidden="1" customWidth="1"/>
    <col min="3" max="6" width="25.28515625" customWidth="1"/>
  </cols>
  <sheetData>
    <row r="1" spans="1:9" ht="42" customHeight="1" x14ac:dyDescent="0.25">
      <c r="A1" s="279" t="s">
        <v>439</v>
      </c>
      <c r="B1" s="279"/>
      <c r="C1" s="279"/>
      <c r="D1" s="279"/>
      <c r="E1" s="279"/>
      <c r="F1" s="279"/>
      <c r="G1" s="202"/>
      <c r="H1" s="202"/>
      <c r="I1" s="202"/>
    </row>
    <row r="2" spans="1:9" ht="18" customHeight="1" x14ac:dyDescent="0.25">
      <c r="A2" s="27"/>
      <c r="B2" s="27"/>
      <c r="C2" s="27"/>
      <c r="D2" s="27"/>
      <c r="E2" s="27"/>
      <c r="F2" s="27"/>
    </row>
    <row r="3" spans="1:9" ht="15.75" x14ac:dyDescent="0.25">
      <c r="A3" s="222" t="s">
        <v>29</v>
      </c>
      <c r="B3" s="222"/>
      <c r="C3" s="222"/>
      <c r="D3" s="222"/>
      <c r="E3" s="239"/>
      <c r="F3" s="239"/>
    </row>
    <row r="4" spans="1:9" ht="18" x14ac:dyDescent="0.25">
      <c r="A4" s="27"/>
      <c r="B4" s="27"/>
      <c r="C4" s="27"/>
      <c r="D4" s="27"/>
      <c r="E4" s="6"/>
      <c r="F4" s="6"/>
    </row>
    <row r="5" spans="1:9" ht="18" customHeight="1" x14ac:dyDescent="0.25">
      <c r="A5" s="222" t="s">
        <v>12</v>
      </c>
      <c r="B5" s="223"/>
      <c r="C5" s="223"/>
      <c r="D5" s="223"/>
      <c r="E5" s="223"/>
      <c r="F5" s="223"/>
    </row>
    <row r="6" spans="1:9" ht="18" x14ac:dyDescent="0.25">
      <c r="A6" s="27"/>
      <c r="B6" s="27"/>
      <c r="C6" s="27"/>
      <c r="D6" s="27"/>
      <c r="E6" s="6"/>
      <c r="F6" s="6"/>
    </row>
    <row r="7" spans="1:9" ht="15.75" x14ac:dyDescent="0.25">
      <c r="A7" s="222" t="s">
        <v>22</v>
      </c>
      <c r="B7" s="248"/>
      <c r="C7" s="248"/>
      <c r="D7" s="248"/>
      <c r="E7" s="248"/>
      <c r="F7" s="248"/>
    </row>
    <row r="8" spans="1:9" ht="18" x14ac:dyDescent="0.25">
      <c r="A8" s="27"/>
      <c r="B8" s="27"/>
      <c r="C8" s="27"/>
      <c r="D8" s="27"/>
      <c r="E8" s="6"/>
      <c r="F8" s="6"/>
    </row>
    <row r="9" spans="1:9" x14ac:dyDescent="0.25">
      <c r="A9" s="23" t="s">
        <v>23</v>
      </c>
      <c r="B9" s="112" t="s">
        <v>223</v>
      </c>
      <c r="C9" s="123" t="s">
        <v>441</v>
      </c>
      <c r="D9" s="23" t="s">
        <v>399</v>
      </c>
      <c r="E9" s="123" t="s">
        <v>442</v>
      </c>
      <c r="F9" s="23" t="s">
        <v>388</v>
      </c>
    </row>
    <row r="10" spans="1:9" ht="15.75" customHeight="1" x14ac:dyDescent="0.25">
      <c r="A10" s="13" t="s">
        <v>24</v>
      </c>
      <c r="B10" s="117" t="e">
        <f>B14</f>
        <v>#DIV/0!</v>
      </c>
      <c r="C10" s="82">
        <f>C14</f>
        <v>1946391.61</v>
      </c>
      <c r="D10" s="82">
        <f t="shared" ref="D10:F10" si="0">D14</f>
        <v>2041287.29</v>
      </c>
      <c r="E10" s="82">
        <f t="shared" si="0"/>
        <v>2285840.42</v>
      </c>
      <c r="F10" s="82">
        <f t="shared" si="0"/>
        <v>111.98</v>
      </c>
    </row>
    <row r="11" spans="1:9" ht="15.75" customHeight="1" x14ac:dyDescent="0.25">
      <c r="A11" s="13" t="s">
        <v>446</v>
      </c>
      <c r="B11" s="117" t="e">
        <f>B12+B14+B16+B18</f>
        <v>#DIV/0!</v>
      </c>
      <c r="C11" s="82">
        <f>C12+C14+C16+C18</f>
        <v>0</v>
      </c>
      <c r="D11" s="82">
        <f t="shared" ref="D11:E11" si="1">D12+D14+D16+D18</f>
        <v>5654693.9699999997</v>
      </c>
      <c r="E11" s="82">
        <f t="shared" si="1"/>
        <v>4363231.55</v>
      </c>
      <c r="F11" s="82">
        <f t="shared" ref="F11:F13" si="2">E11/D11*100</f>
        <v>77.16</v>
      </c>
    </row>
    <row r="12" spans="1:9" x14ac:dyDescent="0.25">
      <c r="A12" s="18" t="s">
        <v>447</v>
      </c>
      <c r="B12" s="124" t="e">
        <f>B13</f>
        <v>#DIV/0!</v>
      </c>
      <c r="C12" s="81">
        <f>C13</f>
        <v>-3793499.04</v>
      </c>
      <c r="D12" s="81">
        <f t="shared" ref="D12:E12" si="3">D13</f>
        <v>1779577</v>
      </c>
      <c r="E12" s="81">
        <v>232</v>
      </c>
      <c r="F12" s="81">
        <f t="shared" si="2"/>
        <v>0.01</v>
      </c>
    </row>
    <row r="13" spans="1:9" x14ac:dyDescent="0.25">
      <c r="A13" s="17" t="s">
        <v>448</v>
      </c>
      <c r="B13" s="124" t="e">
        <f>'POSEBNI DIO'!E1-'Rashodi prema funkcijskoj kl'!B14-B16-B18</f>
        <v>#DIV/0!</v>
      </c>
      <c r="C13" s="81">
        <f>'POSEBNI DIO'!F1-'Rashodi prema funkcijskoj kl'!C14-C16-C18</f>
        <v>-3793499.04</v>
      </c>
      <c r="D13" s="81">
        <v>1779577</v>
      </c>
      <c r="E13" s="81">
        <v>232</v>
      </c>
      <c r="F13" s="81">
        <f t="shared" si="2"/>
        <v>0.01</v>
      </c>
    </row>
    <row r="14" spans="1:9" ht="15.75" customHeight="1" x14ac:dyDescent="0.25">
      <c r="A14" s="13" t="s">
        <v>141</v>
      </c>
      <c r="B14" s="117" t="e">
        <f>B15+B17+B19+B21</f>
        <v>#DIV/0!</v>
      </c>
      <c r="C14" s="82">
        <f>C15+C17+C19+C21</f>
        <v>1946391.61</v>
      </c>
      <c r="D14" s="82">
        <f t="shared" ref="D14:E14" si="4">D15+D17+D19+D21</f>
        <v>2041287.29</v>
      </c>
      <c r="E14" s="82">
        <f t="shared" si="4"/>
        <v>2285840.42</v>
      </c>
      <c r="F14" s="82">
        <f t="shared" ref="F14:F22" si="5">E14/D14*100</f>
        <v>111.98</v>
      </c>
    </row>
    <row r="15" spans="1:9" x14ac:dyDescent="0.25">
      <c r="A15" s="18" t="s">
        <v>142</v>
      </c>
      <c r="B15" s="124" t="e">
        <f>B16</f>
        <v>#DIV/0!</v>
      </c>
      <c r="C15" s="81">
        <f>C16</f>
        <v>1619561.63</v>
      </c>
      <c r="D15" s="81">
        <f t="shared" ref="D15:E15" si="6">D16</f>
        <v>1779577</v>
      </c>
      <c r="E15" s="81">
        <f t="shared" si="6"/>
        <v>1966251.48</v>
      </c>
      <c r="F15" s="81">
        <f t="shared" si="5"/>
        <v>110.49</v>
      </c>
    </row>
    <row r="16" spans="1:9" x14ac:dyDescent="0.25">
      <c r="A16" s="17" t="s">
        <v>143</v>
      </c>
      <c r="B16" s="124" t="e">
        <f>'POSEBNI DIO'!E4-'Rashodi prema funkcijskoj kl'!B17-B19-B21</f>
        <v>#DIV/0!</v>
      </c>
      <c r="C16" s="81">
        <f>'POSEBNI DIO'!F4-'Rashodi prema funkcijskoj kl'!C17-C19-C21</f>
        <v>1619561.63</v>
      </c>
      <c r="D16" s="81">
        <v>1779577</v>
      </c>
      <c r="E16" s="81">
        <v>1966251.48</v>
      </c>
      <c r="F16" s="81">
        <f t="shared" si="5"/>
        <v>110.49</v>
      </c>
    </row>
    <row r="17" spans="1:6" x14ac:dyDescent="0.25">
      <c r="A17" s="18" t="s">
        <v>144</v>
      </c>
      <c r="B17" s="125" t="e">
        <f>B18</f>
        <v>#DIV/0!</v>
      </c>
      <c r="C17" s="88">
        <f>C18</f>
        <v>227545.8</v>
      </c>
      <c r="D17" s="88">
        <f t="shared" ref="D17:E17" si="7">D18</f>
        <v>54252.68</v>
      </c>
      <c r="E17" s="88">
        <f t="shared" si="7"/>
        <v>110907.65</v>
      </c>
      <c r="F17" s="88">
        <f t="shared" si="5"/>
        <v>204.43</v>
      </c>
    </row>
    <row r="18" spans="1:6" x14ac:dyDescent="0.25">
      <c r="A18" s="17" t="s">
        <v>145</v>
      </c>
      <c r="B18" s="124" t="e">
        <f>'POSEBNI DIO'!E21+'POSEBNI DIO'!E68+'POSEBNI DIO'!E192+'POSEBNI DIO'!E218+'POSEBNI DIO'!E385+'POSEBNI DIO'!E391+'POSEBNI DIO'!E398+'POSEBNI DIO'!E413</f>
        <v>#DIV/0!</v>
      </c>
      <c r="C18" s="81">
        <f>'POSEBNI DIO'!F21+'POSEBNI DIO'!F68+'POSEBNI DIO'!F192+'POSEBNI DIO'!F218+'POSEBNI DIO'!F385+'POSEBNI DIO'!F391+'POSEBNI DIO'!F398+'POSEBNI DIO'!F413</f>
        <v>227545.8</v>
      </c>
      <c r="D18" s="81">
        <v>54252.68</v>
      </c>
      <c r="E18" s="81">
        <v>110907.65</v>
      </c>
      <c r="F18" s="81">
        <f t="shared" si="5"/>
        <v>204.43</v>
      </c>
    </row>
    <row r="19" spans="1:6" x14ac:dyDescent="0.25">
      <c r="A19" s="18" t="s">
        <v>215</v>
      </c>
      <c r="B19" s="125" t="e">
        <f>B20</f>
        <v>#DIV/0!</v>
      </c>
      <c r="C19" s="88">
        <f>C20</f>
        <v>705.29</v>
      </c>
      <c r="D19" s="88">
        <f t="shared" ref="D19:E19" si="8">D20</f>
        <v>666</v>
      </c>
      <c r="E19" s="88">
        <f t="shared" si="8"/>
        <v>378.49</v>
      </c>
      <c r="F19" s="88">
        <f t="shared" si="5"/>
        <v>56.83</v>
      </c>
    </row>
    <row r="20" spans="1:6" x14ac:dyDescent="0.25">
      <c r="A20" s="17" t="s">
        <v>216</v>
      </c>
      <c r="B20" s="124" t="e">
        <f>'POSEBNI DIO'!E80</f>
        <v>#DIV/0!</v>
      </c>
      <c r="C20" s="81">
        <f>'POSEBNI DIO'!F80</f>
        <v>705.29</v>
      </c>
      <c r="D20" s="81">
        <f>'POSEBNI DIO'!G80</f>
        <v>666</v>
      </c>
      <c r="E20" s="81">
        <f>'POSEBNI DIO'!H80</f>
        <v>378.49</v>
      </c>
      <c r="F20" s="81">
        <f t="shared" si="5"/>
        <v>56.83</v>
      </c>
    </row>
    <row r="21" spans="1:6" ht="25.5" x14ac:dyDescent="0.25">
      <c r="A21" s="18" t="s">
        <v>212</v>
      </c>
      <c r="B21" s="126" t="e">
        <f>B22</f>
        <v>#DIV/0!</v>
      </c>
      <c r="C21" s="81">
        <f>C22</f>
        <v>98578.89</v>
      </c>
      <c r="D21" s="81">
        <f t="shared" ref="D21:E21" si="9">D22</f>
        <v>206791.61</v>
      </c>
      <c r="E21" s="81">
        <f t="shared" si="9"/>
        <v>208302.8</v>
      </c>
      <c r="F21" s="81">
        <f t="shared" si="5"/>
        <v>100.73</v>
      </c>
    </row>
    <row r="22" spans="1:6" ht="25.5" x14ac:dyDescent="0.25">
      <c r="A22" s="54" t="s">
        <v>206</v>
      </c>
      <c r="B22" s="124" t="e">
        <f>'POSEBNI DIO'!E100+'POSEBNI DIO'!E107+'POSEBNI DIO'!E113+'POSEBNI DIO'!#REF!+'POSEBNI DIO'!#REF!</f>
        <v>#DIV/0!</v>
      </c>
      <c r="C22" s="81">
        <f>'POSEBNI DIO'!F369+'POSEBNI DIO'!F423</f>
        <v>98578.89</v>
      </c>
      <c r="D22" s="81">
        <v>206791.61</v>
      </c>
      <c r="E22" s="81">
        <v>208302.8</v>
      </c>
      <c r="F22" s="81">
        <f t="shared" si="5"/>
        <v>100.73</v>
      </c>
    </row>
    <row r="24" spans="1:6" x14ac:dyDescent="0.25">
      <c r="A24" t="s">
        <v>217</v>
      </c>
      <c r="B24" t="s">
        <v>218</v>
      </c>
      <c r="C24" t="s">
        <v>218</v>
      </c>
      <c r="E24" t="s">
        <v>219</v>
      </c>
    </row>
    <row r="25" spans="1:6" x14ac:dyDescent="0.25">
      <c r="A25" t="s">
        <v>220</v>
      </c>
      <c r="B25" t="s">
        <v>221</v>
      </c>
      <c r="C25" t="s">
        <v>221</v>
      </c>
      <c r="E25" t="s">
        <v>222</v>
      </c>
    </row>
    <row r="27" spans="1:6" x14ac:dyDescent="0.25">
      <c r="D27" s="40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9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19.28515625" customWidth="1"/>
    <col min="6" max="7" width="18.42578125" customWidth="1"/>
    <col min="8" max="8" width="18.28515625" customWidth="1"/>
    <col min="9" max="9" width="19.140625" customWidth="1"/>
  </cols>
  <sheetData>
    <row r="1" spans="1:9" ht="42" customHeight="1" x14ac:dyDescent="0.25">
      <c r="A1" s="222" t="s">
        <v>443</v>
      </c>
      <c r="B1" s="222"/>
      <c r="C1" s="222"/>
      <c r="D1" s="222"/>
      <c r="E1" s="222"/>
      <c r="F1" s="222"/>
      <c r="G1" s="222"/>
      <c r="H1" s="222"/>
      <c r="I1" s="222"/>
    </row>
    <row r="2" spans="1:9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9" ht="15.75" x14ac:dyDescent="0.25">
      <c r="A3" s="222" t="s">
        <v>29</v>
      </c>
      <c r="B3" s="222"/>
      <c r="C3" s="222"/>
      <c r="D3" s="222"/>
      <c r="E3" s="222"/>
      <c r="F3" s="222"/>
      <c r="G3" s="222"/>
      <c r="H3" s="239"/>
      <c r="I3" s="239"/>
    </row>
    <row r="4" spans="1:9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9" ht="18" customHeight="1" x14ac:dyDescent="0.25">
      <c r="A5" s="222" t="s">
        <v>25</v>
      </c>
      <c r="B5" s="223"/>
      <c r="C5" s="223"/>
      <c r="D5" s="223"/>
      <c r="E5" s="223"/>
      <c r="F5" s="223"/>
      <c r="G5" s="223"/>
      <c r="H5" s="223"/>
      <c r="I5" s="223"/>
    </row>
    <row r="6" spans="1:9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9" ht="25.5" x14ac:dyDescent="0.25">
      <c r="A7" s="23" t="s">
        <v>13</v>
      </c>
      <c r="B7" s="22" t="s">
        <v>14</v>
      </c>
      <c r="C7" s="22" t="s">
        <v>15</v>
      </c>
      <c r="D7" s="22" t="s">
        <v>43</v>
      </c>
      <c r="E7" s="22" t="s">
        <v>223</v>
      </c>
      <c r="F7" s="23" t="s">
        <v>224</v>
      </c>
      <c r="G7" s="23" t="s">
        <v>230</v>
      </c>
      <c r="H7" s="23" t="s">
        <v>40</v>
      </c>
      <c r="I7" s="23" t="s">
        <v>388</v>
      </c>
    </row>
    <row r="8" spans="1:9" x14ac:dyDescent="0.25">
      <c r="A8" s="13"/>
      <c r="B8" s="13"/>
      <c r="C8" s="13"/>
      <c r="D8" s="13" t="s">
        <v>213</v>
      </c>
      <c r="E8" s="53">
        <f>SUM(E9:E12)</f>
        <v>0</v>
      </c>
      <c r="F8" s="53">
        <f t="shared" ref="F8:I8" si="0">SUM(F9:F12)</f>
        <v>0</v>
      </c>
      <c r="G8" s="53">
        <f t="shared" si="0"/>
        <v>0</v>
      </c>
      <c r="H8" s="53">
        <f t="shared" si="0"/>
        <v>0</v>
      </c>
      <c r="I8" s="53">
        <f t="shared" si="0"/>
        <v>0</v>
      </c>
    </row>
    <row r="9" spans="1:9" ht="25.5" x14ac:dyDescent="0.25">
      <c r="A9" s="16">
        <v>8</v>
      </c>
      <c r="B9" s="16"/>
      <c r="C9" s="16"/>
      <c r="D9" s="16" t="s">
        <v>26</v>
      </c>
      <c r="E9" s="41">
        <v>0</v>
      </c>
      <c r="F9" s="38">
        <v>0</v>
      </c>
      <c r="G9" s="38">
        <v>0</v>
      </c>
      <c r="H9" s="38">
        <v>0</v>
      </c>
      <c r="I9" s="38">
        <v>0</v>
      </c>
    </row>
    <row r="10" spans="1:9" hidden="1" x14ac:dyDescent="0.25">
      <c r="A10" s="16"/>
      <c r="B10" s="16">
        <v>84</v>
      </c>
      <c r="C10" s="16"/>
      <c r="D10" s="16" t="s">
        <v>33</v>
      </c>
      <c r="E10" s="10"/>
      <c r="F10" s="11"/>
      <c r="G10" s="11"/>
      <c r="H10" s="11"/>
      <c r="I10" s="11"/>
    </row>
    <row r="11" spans="1:9" ht="25.5" hidden="1" x14ac:dyDescent="0.25">
      <c r="A11" s="14"/>
      <c r="B11" s="14"/>
      <c r="C11" s="15">
        <v>81</v>
      </c>
      <c r="D11" s="18" t="s">
        <v>34</v>
      </c>
      <c r="E11" s="10"/>
      <c r="F11" s="11"/>
      <c r="G11" s="11"/>
      <c r="H11" s="11"/>
      <c r="I11" s="11"/>
    </row>
    <row r="12" spans="1:9" ht="25.5" x14ac:dyDescent="0.25">
      <c r="A12" s="17">
        <v>5</v>
      </c>
      <c r="B12" s="55"/>
      <c r="C12" s="55"/>
      <c r="D12" s="28" t="s">
        <v>27</v>
      </c>
      <c r="E12" s="41">
        <v>0</v>
      </c>
      <c r="F12" s="38">
        <v>0</v>
      </c>
      <c r="G12" s="38">
        <v>0</v>
      </c>
      <c r="H12" s="38">
        <v>0</v>
      </c>
      <c r="I12" s="38">
        <v>0</v>
      </c>
    </row>
    <row r="13" spans="1:9" ht="25.5" hidden="1" x14ac:dyDescent="0.25">
      <c r="A13" s="16"/>
      <c r="B13" s="16">
        <v>54</v>
      </c>
      <c r="C13" s="16"/>
      <c r="D13" s="28" t="s">
        <v>35</v>
      </c>
      <c r="E13" s="10"/>
      <c r="F13" s="11"/>
      <c r="G13" s="11"/>
      <c r="H13" s="11"/>
      <c r="I13" s="12"/>
    </row>
    <row r="14" spans="1:9" hidden="1" x14ac:dyDescent="0.25">
      <c r="A14" s="16"/>
      <c r="B14" s="16"/>
      <c r="C14" s="15">
        <v>11</v>
      </c>
      <c r="D14" s="15" t="s">
        <v>17</v>
      </c>
      <c r="E14" s="10"/>
      <c r="F14" s="11"/>
      <c r="G14" s="11"/>
      <c r="H14" s="11"/>
      <c r="I14" s="12"/>
    </row>
    <row r="15" spans="1:9" hidden="1" x14ac:dyDescent="0.25">
      <c r="A15" s="16"/>
      <c r="B15" s="16"/>
      <c r="C15" s="15">
        <v>31</v>
      </c>
      <c r="D15" s="15" t="s">
        <v>36</v>
      </c>
      <c r="E15" s="10"/>
      <c r="F15" s="11"/>
      <c r="G15" s="11"/>
      <c r="H15" s="11"/>
      <c r="I15" s="12"/>
    </row>
    <row r="17" spans="1:8" x14ac:dyDescent="0.25">
      <c r="A17" t="s">
        <v>217</v>
      </c>
      <c r="E17" t="s">
        <v>218</v>
      </c>
      <c r="H17" t="s">
        <v>219</v>
      </c>
    </row>
    <row r="18" spans="1:8" x14ac:dyDescent="0.25">
      <c r="A18" t="s">
        <v>220</v>
      </c>
      <c r="E18" t="s">
        <v>221</v>
      </c>
      <c r="H18" t="s">
        <v>222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 EUR</vt:lpstr>
      <vt:lpstr>Prihodi- ekonom.klasif</vt:lpstr>
      <vt:lpstr>Rashodi-ekonom.klasifik</vt:lpstr>
      <vt:lpstr>prih.rash.-izvori financiranja</vt:lpstr>
      <vt:lpstr>POSEBNI DIO</vt:lpstr>
      <vt:lpstr>Rashodi prema funkcijskoj kl</vt:lpstr>
      <vt:lpstr>Račun financiranja</vt:lpstr>
      <vt:lpstr>'POSEBNI DIO'!Podrucje_ispisa</vt:lpstr>
      <vt:lpstr>'prih.rash.-izvori financiranja'!Podrucje_ispisa</vt:lpstr>
      <vt:lpstr>'Prihodi- ekonom.klasif'!Podrucje_ispisa</vt:lpstr>
      <vt:lpstr>'Račun financiranja'!Podrucje_ispisa</vt:lpstr>
      <vt:lpstr>'Rashodi prema funkcijskoj kl'!Podrucje_ispisa</vt:lpstr>
      <vt:lpstr>'Rashodi-ekonom.klasifik'!Podrucje_ispisa</vt:lpstr>
      <vt:lpstr>'SAŽETAK EUR'!Podrucje_ispisa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Katarina</cp:lastModifiedBy>
  <cp:lastPrinted>2025-07-07T11:21:23Z</cp:lastPrinted>
  <dcterms:created xsi:type="dcterms:W3CDTF">2022-08-12T12:51:27Z</dcterms:created>
  <dcterms:modified xsi:type="dcterms:W3CDTF">2026-02-16T13:55:17Z</dcterms:modified>
</cp:coreProperties>
</file>